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filterPrivacy="1" codeName="ThisWorkbook" defaultThemeVersion="166925"/>
  <xr:revisionPtr revIDLastSave="0" documentId="8_{3B85E553-C463-41F9-AFB7-13290407C152}" xr6:coauthVersionLast="47" xr6:coauthVersionMax="47" xr10:uidLastSave="{00000000-0000-0000-0000-000000000000}"/>
  <bookViews>
    <workbookView xWindow="28680" yWindow="-120" windowWidth="25440" windowHeight="15390" tabRatio="895" firstSheet="7" activeTab="17" xr2:uid="{4CA9FAD8-D3CA-4FEE-83A9-F8570BC02165}"/>
  </bookViews>
  <sheets>
    <sheet name="Locatieoverzicht" sheetId="4" r:id="rId1"/>
    <sheet name="Inventarisatie" sheetId="1" r:id="rId2"/>
    <sheet name="Ruimtestaat" sheetId="2" r:id="rId3"/>
    <sheet name="Uurtarieven" sheetId="6" r:id="rId4"/>
    <sheet name="Schoonmaaknormen" sheetId="3" r:id="rId5"/>
    <sheet name="berekening dagen" sheetId="12" state="veryHidden" r:id="rId6"/>
    <sheet name="Toeslagenmatrix-tarieven" sheetId="13" r:id="rId7"/>
    <sheet name="Kostenblad schoonmaak" sheetId="7" r:id="rId8"/>
    <sheet name="Staffelprijzen" sheetId="8" r:id="rId9"/>
    <sheet name="Glazenwassen" sheetId="9" r:id="rId10"/>
    <sheet name="Inschrijfbiljet" sheetId="14" r:id="rId11"/>
    <sheet name="Basisprogramma" sheetId="10" state="veryHidden" r:id="rId12"/>
    <sheet name="Boxenruimte" sheetId="15" r:id="rId13"/>
    <sheet name="Kantoorruimte" sheetId="22" r:id="rId14"/>
    <sheet name="Representatieve ruimte" sheetId="23" r:id="rId15"/>
    <sheet name="Restauratieve ruimte" sheetId="18" r:id="rId16"/>
    <sheet name="Sanitaire ruimte" sheetId="19" r:id="rId17"/>
    <sheet name="Verkeersruimte" sheetId="20" r:id="rId18"/>
    <sheet name="Boxenruimte (7)" sheetId="21" state="veryHidden" r:id="rId19"/>
  </sheets>
  <externalReferences>
    <externalReference r:id="rId20"/>
  </externalReferences>
  <definedNames>
    <definedName name="_xlnm._FilterDatabase" localSheetId="11" hidden="1">Basisprogramma!$B$3:$I$107</definedName>
    <definedName name="_xlnm._FilterDatabase" localSheetId="12" hidden="1">Boxenruimte!$B$3:$J$61</definedName>
    <definedName name="_xlnm._FilterDatabase" localSheetId="18" hidden="1">'Boxenruimte (7)'!$B$3:$I$107</definedName>
    <definedName name="_xlnm._FilterDatabase" localSheetId="9" hidden="1">Glazenwassen!$A$1:$K$38</definedName>
    <definedName name="_xlnm._FilterDatabase" localSheetId="1" hidden="1">Inventarisatie!$A$1:$H$554</definedName>
    <definedName name="_xlnm._FilterDatabase" localSheetId="13" hidden="1">Kantoorruimte!$B$3:$J$42</definedName>
    <definedName name="_xlnm._FilterDatabase" localSheetId="14" hidden="1">'Representatieve ruimte'!$B$3:$J$61</definedName>
    <definedName name="_xlnm._FilterDatabase" localSheetId="15" hidden="1">'Restauratieve ruimte'!$B$3:$J$46</definedName>
    <definedName name="_xlnm._FilterDatabase" localSheetId="2" hidden="1">Ruimtestaat!$A$2:$A$302</definedName>
    <definedName name="_xlnm._FilterDatabase" localSheetId="16" hidden="1">'Sanitaire ruimte'!$B$3:$J$54</definedName>
    <definedName name="_xlnm._FilterDatabase" localSheetId="17" hidden="1">Verkeersruimte!$B$3:$J$57</definedName>
    <definedName name="_xlnm.Print_Area" localSheetId="9">Glazenwassen!$A$2:$L$35</definedName>
    <definedName name="_xlnm.Print_Area" localSheetId="1">Inventarisatie[#All]</definedName>
    <definedName name="_xlnm.Print_Area" localSheetId="7">'Kostenblad schoonmaak'!$B$2:$L$322</definedName>
    <definedName name="_xlnm.Print_Area" localSheetId="0">Locatieoverzicht!$B$2:$H$47</definedName>
    <definedName name="_xlnm.Print_Area" localSheetId="2">Ruimtestaat!$B$2:$K$303</definedName>
    <definedName name="_xlnm.Print_Area" localSheetId="4">Schoonmaaknormen!$B$2:$L$303</definedName>
    <definedName name="_xlnm.Print_Area" localSheetId="8">Staffelprijzen!$B$1:$F$27</definedName>
    <definedName name="_xlnm.Print_Area" localSheetId="6">'Toeslagenmatrix-tarieven'!$B$10:$O$32</definedName>
    <definedName name="_xlnm.Print_Area" localSheetId="3">Uurtarieven!$B$2:$O$52</definedName>
    <definedName name="_xlnm.Print_Titles" localSheetId="1">Inventarisatie!$1:$1</definedName>
    <definedName name="calculatietarief" localSheetId="6">'Toeslagenmatrix-tarieven'!$E$32</definedName>
    <definedName name="calculatietarief">Uurtarieven!$D$52</definedName>
    <definedName name="gebi">Staffelprijzen!$C$22</definedName>
    <definedName name="gebu">Staffelprijzen!$C$21</definedName>
    <definedName name="ovge">Staffelprijzen!$C$24</definedName>
    <definedName name="sep">Staffelprijzen!$C$23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35" i="9" l="1"/>
  <c r="L16" i="13"/>
  <c r="J16" i="13"/>
  <c r="N6" i="13"/>
  <c r="O5" i="13"/>
  <c r="O4" i="13"/>
  <c r="J2" i="13"/>
  <c r="I40" i="6"/>
  <c r="L42" i="6"/>
  <c r="N42" i="6"/>
  <c r="O40" i="6"/>
  <c r="M40" i="6"/>
  <c r="K40" i="6"/>
  <c r="G40" i="6"/>
  <c r="E40" i="6"/>
  <c r="I20" i="6"/>
  <c r="M17" i="6"/>
  <c r="M16" i="6"/>
  <c r="K17" i="6"/>
  <c r="K16" i="6"/>
  <c r="I17" i="6"/>
  <c r="I16" i="6"/>
  <c r="M13" i="6"/>
  <c r="M12" i="6"/>
  <c r="K13" i="6"/>
  <c r="K12" i="6"/>
  <c r="I13" i="6"/>
  <c r="I12" i="6"/>
  <c r="E61" i="23"/>
  <c r="D61" i="23"/>
  <c r="E60" i="23"/>
  <c r="D60" i="23"/>
  <c r="E59" i="23"/>
  <c r="D59" i="23"/>
  <c r="E58" i="23"/>
  <c r="D58" i="23"/>
  <c r="E57" i="23"/>
  <c r="D57" i="23"/>
  <c r="E56" i="23"/>
  <c r="D56" i="23"/>
  <c r="E55" i="23"/>
  <c r="D55" i="23"/>
  <c r="E54" i="23"/>
  <c r="D54" i="23"/>
  <c r="E53" i="23"/>
  <c r="D53" i="23"/>
  <c r="E52" i="23"/>
  <c r="D52" i="23"/>
  <c r="E51" i="23"/>
  <c r="D51" i="23"/>
  <c r="E50" i="23"/>
  <c r="D50" i="23"/>
  <c r="E49" i="23"/>
  <c r="D49" i="23"/>
  <c r="E48" i="23"/>
  <c r="D48" i="23"/>
  <c r="E47" i="23"/>
  <c r="D47" i="23"/>
  <c r="E46" i="23"/>
  <c r="D46" i="23"/>
  <c r="E45" i="23"/>
  <c r="D45" i="23"/>
  <c r="E44" i="23"/>
  <c r="D44" i="23"/>
  <c r="E43" i="23"/>
  <c r="D43" i="23"/>
  <c r="E42" i="23"/>
  <c r="D42" i="23"/>
  <c r="E41" i="23"/>
  <c r="D41" i="23"/>
  <c r="E40" i="23"/>
  <c r="D40" i="23"/>
  <c r="E39" i="23"/>
  <c r="D39" i="23"/>
  <c r="E38" i="23"/>
  <c r="D38" i="23"/>
  <c r="E37" i="23"/>
  <c r="D37" i="23"/>
  <c r="E36" i="23"/>
  <c r="D36" i="23"/>
  <c r="E35" i="23"/>
  <c r="D35" i="23"/>
  <c r="E34" i="23"/>
  <c r="D34" i="23"/>
  <c r="E33" i="23"/>
  <c r="D33" i="23"/>
  <c r="E32" i="23"/>
  <c r="D32" i="23"/>
  <c r="E31" i="23"/>
  <c r="D31" i="23"/>
  <c r="E30" i="23"/>
  <c r="D30" i="23"/>
  <c r="E29" i="23"/>
  <c r="D29" i="23"/>
  <c r="E28" i="23"/>
  <c r="D28" i="23"/>
  <c r="E27" i="23"/>
  <c r="D27" i="23"/>
  <c r="E26" i="23"/>
  <c r="D26" i="23"/>
  <c r="E25" i="23"/>
  <c r="D25" i="23"/>
  <c r="E24" i="23"/>
  <c r="D24" i="23"/>
  <c r="E23" i="23"/>
  <c r="D23" i="23"/>
  <c r="E22" i="23"/>
  <c r="D22" i="23"/>
  <c r="E21" i="23"/>
  <c r="D21" i="23"/>
  <c r="E20" i="23"/>
  <c r="D20" i="23"/>
  <c r="E19" i="23"/>
  <c r="D19" i="23"/>
  <c r="E18" i="23"/>
  <c r="D18" i="23"/>
  <c r="E17" i="23"/>
  <c r="D17" i="23"/>
  <c r="E16" i="23"/>
  <c r="D16" i="23"/>
  <c r="E15" i="23"/>
  <c r="D15" i="23"/>
  <c r="E14" i="23"/>
  <c r="D14" i="23"/>
  <c r="E13" i="23"/>
  <c r="D13" i="23"/>
  <c r="E12" i="23"/>
  <c r="D12" i="23"/>
  <c r="E11" i="23"/>
  <c r="D11" i="23"/>
  <c r="E10" i="23"/>
  <c r="D10" i="23"/>
  <c r="E9" i="23"/>
  <c r="D9" i="23"/>
  <c r="E8" i="23"/>
  <c r="D8" i="23"/>
  <c r="E7" i="23"/>
  <c r="D7" i="23"/>
  <c r="E6" i="23"/>
  <c r="D6" i="23"/>
  <c r="E5" i="23"/>
  <c r="D5" i="23"/>
  <c r="E4" i="23"/>
  <c r="E42" i="22"/>
  <c r="E41" i="22"/>
  <c r="E40" i="22"/>
  <c r="E39" i="22"/>
  <c r="E38" i="22"/>
  <c r="E37" i="22"/>
  <c r="E36" i="22"/>
  <c r="E35" i="22"/>
  <c r="E34" i="22"/>
  <c r="E33" i="22"/>
  <c r="E32" i="22"/>
  <c r="E31" i="22"/>
  <c r="E30" i="22"/>
  <c r="E29" i="22"/>
  <c r="E28" i="22"/>
  <c r="E27" i="22"/>
  <c r="E26" i="22"/>
  <c r="E25" i="22"/>
  <c r="E24" i="22"/>
  <c r="E23" i="22"/>
  <c r="E22" i="22"/>
  <c r="E21" i="22"/>
  <c r="E20" i="22"/>
  <c r="E19" i="22"/>
  <c r="E18" i="22"/>
  <c r="E17" i="22"/>
  <c r="E16" i="22"/>
  <c r="E15" i="22"/>
  <c r="E14" i="22"/>
  <c r="E13" i="22"/>
  <c r="E12" i="22"/>
  <c r="E11" i="22"/>
  <c r="E10" i="22"/>
  <c r="E9" i="22"/>
  <c r="E8" i="22"/>
  <c r="E7" i="22"/>
  <c r="E6" i="22"/>
  <c r="E5" i="22"/>
  <c r="E4" i="22"/>
  <c r="D4" i="22"/>
  <c r="D4" i="23"/>
  <c r="D42" i="22"/>
  <c r="D41" i="22"/>
  <c r="D40" i="22"/>
  <c r="D39" i="22"/>
  <c r="D38" i="22"/>
  <c r="D37" i="22"/>
  <c r="D36" i="22"/>
  <c r="D35" i="22"/>
  <c r="D34" i="22"/>
  <c r="D33" i="22"/>
  <c r="D32" i="22"/>
  <c r="D31" i="22"/>
  <c r="D30" i="22"/>
  <c r="D29" i="22"/>
  <c r="D28" i="22"/>
  <c r="D27" i="22"/>
  <c r="D26" i="22"/>
  <c r="D25" i="22"/>
  <c r="D24" i="22"/>
  <c r="D23" i="22"/>
  <c r="D22" i="22"/>
  <c r="D21" i="22"/>
  <c r="D20" i="22"/>
  <c r="D19" i="22"/>
  <c r="D18" i="22"/>
  <c r="D17" i="22"/>
  <c r="D16" i="22"/>
  <c r="D15" i="22"/>
  <c r="D14" i="22"/>
  <c r="D13" i="22"/>
  <c r="D12" i="22"/>
  <c r="D11" i="22"/>
  <c r="D10" i="22"/>
  <c r="D9" i="22"/>
  <c r="D8" i="22"/>
  <c r="D7" i="22"/>
  <c r="D6" i="22"/>
  <c r="D5" i="22"/>
  <c r="I61" i="23"/>
  <c r="H61" i="23"/>
  <c r="G61" i="23"/>
  <c r="F61" i="23"/>
  <c r="I60" i="23"/>
  <c r="H60" i="23"/>
  <c r="G60" i="23"/>
  <c r="F60" i="23"/>
  <c r="I59" i="23"/>
  <c r="H59" i="23"/>
  <c r="G59" i="23"/>
  <c r="F59" i="23"/>
  <c r="I58" i="23"/>
  <c r="H58" i="23"/>
  <c r="G58" i="23"/>
  <c r="F58" i="23"/>
  <c r="I57" i="23"/>
  <c r="H57" i="23"/>
  <c r="G57" i="23"/>
  <c r="F57" i="23"/>
  <c r="I56" i="23"/>
  <c r="H56" i="23"/>
  <c r="G56" i="23"/>
  <c r="F56" i="23"/>
  <c r="I55" i="23"/>
  <c r="H55" i="23"/>
  <c r="G55" i="23"/>
  <c r="F55" i="23"/>
  <c r="I54" i="23"/>
  <c r="H54" i="23"/>
  <c r="G54" i="23"/>
  <c r="F54" i="23"/>
  <c r="I53" i="23"/>
  <c r="H53" i="23"/>
  <c r="G53" i="23"/>
  <c r="F53" i="23"/>
  <c r="I52" i="23"/>
  <c r="H52" i="23"/>
  <c r="G52" i="23"/>
  <c r="F52" i="23"/>
  <c r="I51" i="23"/>
  <c r="H51" i="23"/>
  <c r="G51" i="23"/>
  <c r="F51" i="23"/>
  <c r="I50" i="23"/>
  <c r="H50" i="23"/>
  <c r="G50" i="23"/>
  <c r="F50" i="23"/>
  <c r="I49" i="23"/>
  <c r="H49" i="23"/>
  <c r="G49" i="23"/>
  <c r="F49" i="23"/>
  <c r="I48" i="23"/>
  <c r="H48" i="23"/>
  <c r="G48" i="23"/>
  <c r="F48" i="23"/>
  <c r="I47" i="23"/>
  <c r="H47" i="23"/>
  <c r="G47" i="23"/>
  <c r="F47" i="23"/>
  <c r="I46" i="23"/>
  <c r="H46" i="23"/>
  <c r="G46" i="23"/>
  <c r="F46" i="23"/>
  <c r="I45" i="23"/>
  <c r="H45" i="23"/>
  <c r="G45" i="23"/>
  <c r="F45" i="23"/>
  <c r="I44" i="23"/>
  <c r="H44" i="23"/>
  <c r="G44" i="23"/>
  <c r="F44" i="23"/>
  <c r="I43" i="23"/>
  <c r="H43" i="23"/>
  <c r="G43" i="23"/>
  <c r="F43" i="23"/>
  <c r="I42" i="23"/>
  <c r="H42" i="23"/>
  <c r="G42" i="23"/>
  <c r="F42" i="23"/>
  <c r="I41" i="23"/>
  <c r="H41" i="23"/>
  <c r="G41" i="23"/>
  <c r="F41" i="23"/>
  <c r="I40" i="23"/>
  <c r="H40" i="23"/>
  <c r="G40" i="23"/>
  <c r="F40" i="23"/>
  <c r="I39" i="23"/>
  <c r="H39" i="23"/>
  <c r="G39" i="23"/>
  <c r="F39" i="23"/>
  <c r="I38" i="23"/>
  <c r="H38" i="23"/>
  <c r="G38" i="23"/>
  <c r="F38" i="23"/>
  <c r="I37" i="23"/>
  <c r="H37" i="23"/>
  <c r="G37" i="23"/>
  <c r="F37" i="23"/>
  <c r="I36" i="23"/>
  <c r="H36" i="23"/>
  <c r="G36" i="23"/>
  <c r="F36" i="23"/>
  <c r="I35" i="23"/>
  <c r="H35" i="23"/>
  <c r="G35" i="23"/>
  <c r="F35" i="23"/>
  <c r="I34" i="23"/>
  <c r="H34" i="23"/>
  <c r="G34" i="23"/>
  <c r="F34" i="23"/>
  <c r="I33" i="23"/>
  <c r="H33" i="23"/>
  <c r="G33" i="23"/>
  <c r="F33" i="23"/>
  <c r="I32" i="23"/>
  <c r="H32" i="23"/>
  <c r="G32" i="23"/>
  <c r="F32" i="23"/>
  <c r="I31" i="23"/>
  <c r="H31" i="23"/>
  <c r="G31" i="23"/>
  <c r="F31" i="23"/>
  <c r="I30" i="23"/>
  <c r="H30" i="23"/>
  <c r="G30" i="23"/>
  <c r="F30" i="23"/>
  <c r="I29" i="23"/>
  <c r="H29" i="23"/>
  <c r="G29" i="23"/>
  <c r="F29" i="23"/>
  <c r="I28" i="23"/>
  <c r="H28" i="23"/>
  <c r="G28" i="23"/>
  <c r="F28" i="23"/>
  <c r="I27" i="23"/>
  <c r="H27" i="23"/>
  <c r="G27" i="23"/>
  <c r="F27" i="23"/>
  <c r="I26" i="23"/>
  <c r="H26" i="23"/>
  <c r="G26" i="23"/>
  <c r="F26" i="23"/>
  <c r="I25" i="23"/>
  <c r="H25" i="23"/>
  <c r="G25" i="23"/>
  <c r="F25" i="23"/>
  <c r="I24" i="23"/>
  <c r="H24" i="23"/>
  <c r="G24" i="23"/>
  <c r="F24" i="23"/>
  <c r="I23" i="23"/>
  <c r="H23" i="23"/>
  <c r="G23" i="23"/>
  <c r="F23" i="23"/>
  <c r="I22" i="23"/>
  <c r="H22" i="23"/>
  <c r="G22" i="23"/>
  <c r="F22" i="23"/>
  <c r="I21" i="23"/>
  <c r="H21" i="23"/>
  <c r="G21" i="23"/>
  <c r="F21" i="23"/>
  <c r="I20" i="23"/>
  <c r="H20" i="23"/>
  <c r="G20" i="23"/>
  <c r="F20" i="23"/>
  <c r="I19" i="23"/>
  <c r="H19" i="23"/>
  <c r="G19" i="23"/>
  <c r="F19" i="23"/>
  <c r="I18" i="23"/>
  <c r="H18" i="23"/>
  <c r="G18" i="23"/>
  <c r="F18" i="23"/>
  <c r="I17" i="23"/>
  <c r="H17" i="23"/>
  <c r="G17" i="23"/>
  <c r="F17" i="23"/>
  <c r="I16" i="23"/>
  <c r="H16" i="23"/>
  <c r="G16" i="23"/>
  <c r="F16" i="23"/>
  <c r="I15" i="23"/>
  <c r="H15" i="23"/>
  <c r="G15" i="23"/>
  <c r="F15" i="23"/>
  <c r="I14" i="23"/>
  <c r="H14" i="23"/>
  <c r="G14" i="23"/>
  <c r="F14" i="23"/>
  <c r="I13" i="23"/>
  <c r="H13" i="23"/>
  <c r="G13" i="23"/>
  <c r="F13" i="23"/>
  <c r="I12" i="23"/>
  <c r="H12" i="23"/>
  <c r="G12" i="23"/>
  <c r="F12" i="23"/>
  <c r="I11" i="23"/>
  <c r="H11" i="23"/>
  <c r="G11" i="23"/>
  <c r="F11" i="23"/>
  <c r="I10" i="23"/>
  <c r="H10" i="23"/>
  <c r="G10" i="23"/>
  <c r="F10" i="23"/>
  <c r="I9" i="23"/>
  <c r="H9" i="23"/>
  <c r="G9" i="23"/>
  <c r="F9" i="23"/>
  <c r="I8" i="23"/>
  <c r="H8" i="23"/>
  <c r="G8" i="23"/>
  <c r="F8" i="23"/>
  <c r="I7" i="23"/>
  <c r="H7" i="23"/>
  <c r="G7" i="23"/>
  <c r="F7" i="23"/>
  <c r="I6" i="23"/>
  <c r="H6" i="23"/>
  <c r="G6" i="23"/>
  <c r="F6" i="23"/>
  <c r="I5" i="23"/>
  <c r="H5" i="23"/>
  <c r="G5" i="23"/>
  <c r="F5" i="23"/>
  <c r="I4" i="23"/>
  <c r="H4" i="23"/>
  <c r="G4" i="23"/>
  <c r="F4" i="23"/>
  <c r="I42" i="22"/>
  <c r="H42" i="22"/>
  <c r="G42" i="22"/>
  <c r="F42" i="22"/>
  <c r="I41" i="22"/>
  <c r="H41" i="22"/>
  <c r="G41" i="22"/>
  <c r="F41" i="22"/>
  <c r="I40" i="22"/>
  <c r="H40" i="22"/>
  <c r="G40" i="22"/>
  <c r="F40" i="22"/>
  <c r="I39" i="22"/>
  <c r="H39" i="22"/>
  <c r="G39" i="22"/>
  <c r="F39" i="22"/>
  <c r="I38" i="22"/>
  <c r="H38" i="22"/>
  <c r="G38" i="22"/>
  <c r="F38" i="22"/>
  <c r="I37" i="22"/>
  <c r="H37" i="22"/>
  <c r="G37" i="22"/>
  <c r="F37" i="22"/>
  <c r="I36" i="22"/>
  <c r="H36" i="22"/>
  <c r="G36" i="22"/>
  <c r="F36" i="22"/>
  <c r="I35" i="22"/>
  <c r="H35" i="22"/>
  <c r="G35" i="22"/>
  <c r="F35" i="22"/>
  <c r="I34" i="22"/>
  <c r="H34" i="22"/>
  <c r="G34" i="22"/>
  <c r="F34" i="22"/>
  <c r="I33" i="22"/>
  <c r="H33" i="22"/>
  <c r="G33" i="22"/>
  <c r="F33" i="22"/>
  <c r="I32" i="22"/>
  <c r="H32" i="22"/>
  <c r="G32" i="22"/>
  <c r="F32" i="22"/>
  <c r="I31" i="22"/>
  <c r="H31" i="22"/>
  <c r="G31" i="22"/>
  <c r="F31" i="22"/>
  <c r="I30" i="22"/>
  <c r="H30" i="22"/>
  <c r="G30" i="22"/>
  <c r="F30" i="22"/>
  <c r="I29" i="22"/>
  <c r="H29" i="22"/>
  <c r="G29" i="22"/>
  <c r="F29" i="22"/>
  <c r="I28" i="22"/>
  <c r="H28" i="22"/>
  <c r="G28" i="22"/>
  <c r="F28" i="22"/>
  <c r="I27" i="22"/>
  <c r="H27" i="22"/>
  <c r="G27" i="22"/>
  <c r="F27" i="22"/>
  <c r="I26" i="22"/>
  <c r="H26" i="22"/>
  <c r="G26" i="22"/>
  <c r="F26" i="22"/>
  <c r="I25" i="22"/>
  <c r="H25" i="22"/>
  <c r="G25" i="22"/>
  <c r="F25" i="22"/>
  <c r="I24" i="22"/>
  <c r="H24" i="22"/>
  <c r="G24" i="22"/>
  <c r="F24" i="22"/>
  <c r="I23" i="22"/>
  <c r="H23" i="22"/>
  <c r="G23" i="22"/>
  <c r="F23" i="22"/>
  <c r="I22" i="22"/>
  <c r="H22" i="22"/>
  <c r="G22" i="22"/>
  <c r="F22" i="22"/>
  <c r="I21" i="22"/>
  <c r="H21" i="22"/>
  <c r="G21" i="22"/>
  <c r="F21" i="22"/>
  <c r="I20" i="22"/>
  <c r="H20" i="22"/>
  <c r="G20" i="22"/>
  <c r="F20" i="22"/>
  <c r="I19" i="22"/>
  <c r="H19" i="22"/>
  <c r="G19" i="22"/>
  <c r="F19" i="22"/>
  <c r="I18" i="22"/>
  <c r="H18" i="22"/>
  <c r="G18" i="22"/>
  <c r="F18" i="22"/>
  <c r="I17" i="22"/>
  <c r="H17" i="22"/>
  <c r="G17" i="22"/>
  <c r="F17" i="22"/>
  <c r="I16" i="22"/>
  <c r="H16" i="22"/>
  <c r="G16" i="22"/>
  <c r="F16" i="22"/>
  <c r="I15" i="22"/>
  <c r="H15" i="22"/>
  <c r="G15" i="22"/>
  <c r="F15" i="22"/>
  <c r="I14" i="22"/>
  <c r="H14" i="22"/>
  <c r="G14" i="22"/>
  <c r="F14" i="22"/>
  <c r="I13" i="22"/>
  <c r="H13" i="22"/>
  <c r="G13" i="22"/>
  <c r="F13" i="22"/>
  <c r="I12" i="22"/>
  <c r="H12" i="22"/>
  <c r="G12" i="22"/>
  <c r="F12" i="22"/>
  <c r="I11" i="22"/>
  <c r="H11" i="22"/>
  <c r="G11" i="22"/>
  <c r="F11" i="22"/>
  <c r="I10" i="22"/>
  <c r="H10" i="22"/>
  <c r="G10" i="22"/>
  <c r="F10" i="22"/>
  <c r="I9" i="22"/>
  <c r="H9" i="22"/>
  <c r="G9" i="22"/>
  <c r="F9" i="22"/>
  <c r="I8" i="22"/>
  <c r="H8" i="22"/>
  <c r="G8" i="22"/>
  <c r="F8" i="22"/>
  <c r="I7" i="22"/>
  <c r="H7" i="22"/>
  <c r="G7" i="22"/>
  <c r="F7" i="22"/>
  <c r="I6" i="22"/>
  <c r="H6" i="22"/>
  <c r="G6" i="22"/>
  <c r="F6" i="22"/>
  <c r="I5" i="22"/>
  <c r="H5" i="22"/>
  <c r="G5" i="22"/>
  <c r="F5" i="22"/>
  <c r="I4" i="22"/>
  <c r="H4" i="22"/>
  <c r="G4" i="22"/>
  <c r="F4" i="22"/>
  <c r="O8" i="6" l="1"/>
  <c r="O7" i="6"/>
  <c r="O6" i="6"/>
  <c r="M8" i="6"/>
  <c r="M7" i="6"/>
  <c r="M6" i="6"/>
  <c r="K8" i="6"/>
  <c r="I8" i="6"/>
  <c r="K7" i="6"/>
  <c r="K6" i="6"/>
  <c r="I7" i="6"/>
  <c r="I6" i="6"/>
  <c r="G8" i="6"/>
  <c r="E8" i="6"/>
  <c r="G7" i="6"/>
  <c r="G6" i="6"/>
  <c r="J42" i="6"/>
  <c r="K37" i="6"/>
  <c r="I37" i="6"/>
  <c r="K36" i="6"/>
  <c r="I36" i="6"/>
  <c r="K35" i="6"/>
  <c r="I35" i="6"/>
  <c r="K34" i="6"/>
  <c r="I34" i="6"/>
  <c r="K33" i="6"/>
  <c r="I33" i="6"/>
  <c r="K32" i="6"/>
  <c r="I32" i="6"/>
  <c r="K31" i="6"/>
  <c r="I31" i="6"/>
  <c r="K30" i="6"/>
  <c r="I30" i="6"/>
  <c r="K29" i="6"/>
  <c r="I29" i="6"/>
  <c r="K28" i="6"/>
  <c r="I28" i="6"/>
  <c r="K25" i="6"/>
  <c r="I25" i="6"/>
  <c r="K24" i="6"/>
  <c r="I24" i="6"/>
  <c r="K23" i="6"/>
  <c r="I23" i="6"/>
  <c r="K22" i="6"/>
  <c r="I22" i="6"/>
  <c r="K21" i="6"/>
  <c r="I21" i="6"/>
  <c r="K20" i="6"/>
  <c r="E7" i="6"/>
  <c r="E6" i="6"/>
  <c r="I46" i="18"/>
  <c r="I45" i="18"/>
  <c r="I44" i="18"/>
  <c r="I43" i="18"/>
  <c r="I42" i="18"/>
  <c r="I41" i="18"/>
  <c r="I40" i="18"/>
  <c r="I39" i="18"/>
  <c r="I38" i="18"/>
  <c r="I37" i="18"/>
  <c r="I36" i="18"/>
  <c r="I35" i="18"/>
  <c r="I34" i="18"/>
  <c r="I33" i="18"/>
  <c r="I32" i="18"/>
  <c r="I31" i="18"/>
  <c r="I30" i="18"/>
  <c r="I29" i="18"/>
  <c r="I28" i="18"/>
  <c r="I27" i="18"/>
  <c r="I26" i="18"/>
  <c r="I25" i="18"/>
  <c r="I24" i="18"/>
  <c r="I23" i="18"/>
  <c r="I22" i="18"/>
  <c r="I21" i="18"/>
  <c r="I20" i="18"/>
  <c r="I19" i="18"/>
  <c r="I18" i="18"/>
  <c r="I17" i="18"/>
  <c r="I16" i="18"/>
  <c r="I15" i="18"/>
  <c r="I14" i="18"/>
  <c r="I13" i="18"/>
  <c r="I12" i="18"/>
  <c r="I11" i="18"/>
  <c r="I10" i="18"/>
  <c r="I9" i="18"/>
  <c r="I8" i="18"/>
  <c r="I7" i="18"/>
  <c r="I6" i="18"/>
  <c r="I5" i="18"/>
  <c r="I4" i="18"/>
  <c r="I54" i="19"/>
  <c r="I53" i="19"/>
  <c r="I52" i="19"/>
  <c r="I51" i="19"/>
  <c r="I50" i="19"/>
  <c r="I49" i="19"/>
  <c r="I48" i="19"/>
  <c r="I47" i="19"/>
  <c r="I46" i="19"/>
  <c r="I45" i="19"/>
  <c r="I44" i="19"/>
  <c r="I43" i="19"/>
  <c r="I42" i="19"/>
  <c r="I41" i="19"/>
  <c r="I40" i="19"/>
  <c r="I39" i="19"/>
  <c r="I38" i="19"/>
  <c r="I37" i="19"/>
  <c r="I36" i="19"/>
  <c r="I35" i="19"/>
  <c r="I34" i="19"/>
  <c r="I33" i="19"/>
  <c r="I32" i="19"/>
  <c r="I31" i="19"/>
  <c r="I30" i="19"/>
  <c r="I29" i="19"/>
  <c r="I28" i="19"/>
  <c r="I27" i="19"/>
  <c r="I26" i="19"/>
  <c r="I25" i="19"/>
  <c r="I24" i="19"/>
  <c r="I23" i="19"/>
  <c r="I22" i="19"/>
  <c r="I21" i="19"/>
  <c r="I20" i="19"/>
  <c r="I19" i="19"/>
  <c r="I18" i="19"/>
  <c r="I17" i="19"/>
  <c r="I16" i="19"/>
  <c r="I15" i="19"/>
  <c r="I14" i="19"/>
  <c r="I13" i="19"/>
  <c r="I12" i="19"/>
  <c r="I11" i="19"/>
  <c r="I10" i="19"/>
  <c r="I9" i="19"/>
  <c r="I8" i="19"/>
  <c r="I7" i="19"/>
  <c r="I6" i="19"/>
  <c r="I5" i="19"/>
  <c r="I4" i="19"/>
  <c r="I57" i="20"/>
  <c r="I56" i="20"/>
  <c r="I55" i="20"/>
  <c r="I54" i="20"/>
  <c r="I53" i="20"/>
  <c r="I52" i="20"/>
  <c r="I51" i="20"/>
  <c r="I50" i="20"/>
  <c r="I49" i="20"/>
  <c r="I48" i="20"/>
  <c r="I47" i="20"/>
  <c r="I46" i="20"/>
  <c r="I45" i="20"/>
  <c r="I44" i="20"/>
  <c r="I43" i="20"/>
  <c r="I42" i="20"/>
  <c r="I41" i="20"/>
  <c r="I40" i="20"/>
  <c r="I39" i="20"/>
  <c r="I38" i="20"/>
  <c r="I37" i="20"/>
  <c r="I36" i="20"/>
  <c r="I35" i="20"/>
  <c r="I34" i="20"/>
  <c r="I33" i="20"/>
  <c r="I32" i="20"/>
  <c r="I31" i="20"/>
  <c r="I30" i="20"/>
  <c r="I29" i="20"/>
  <c r="I28" i="20"/>
  <c r="I27" i="20"/>
  <c r="I26" i="20"/>
  <c r="I25" i="20"/>
  <c r="I24" i="20"/>
  <c r="I23" i="20"/>
  <c r="I22" i="20"/>
  <c r="I21" i="20"/>
  <c r="I20" i="20"/>
  <c r="I19" i="20"/>
  <c r="I18" i="20"/>
  <c r="I17" i="20"/>
  <c r="I16" i="20"/>
  <c r="I15" i="20"/>
  <c r="I14" i="20"/>
  <c r="I13" i="20"/>
  <c r="I12" i="20"/>
  <c r="I11" i="20"/>
  <c r="I10" i="20"/>
  <c r="I9" i="20"/>
  <c r="I8" i="20"/>
  <c r="I7" i="20"/>
  <c r="I6" i="20"/>
  <c r="I5" i="20"/>
  <c r="I4" i="20"/>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32" i="15"/>
  <c r="I31" i="15"/>
  <c r="I30" i="15"/>
  <c r="I29" i="15"/>
  <c r="I28" i="15"/>
  <c r="I27" i="15"/>
  <c r="I26" i="15"/>
  <c r="I25" i="15"/>
  <c r="I24" i="15"/>
  <c r="I23" i="15"/>
  <c r="I22" i="15"/>
  <c r="I21" i="15"/>
  <c r="I20" i="15"/>
  <c r="I19" i="15"/>
  <c r="I18" i="15"/>
  <c r="I17" i="15"/>
  <c r="I16" i="15"/>
  <c r="I15" i="15"/>
  <c r="I14" i="15"/>
  <c r="I13" i="15"/>
  <c r="I12" i="15"/>
  <c r="I11" i="15"/>
  <c r="I10" i="15"/>
  <c r="I9" i="15"/>
  <c r="I8" i="15"/>
  <c r="I7" i="15"/>
  <c r="I6" i="15"/>
  <c r="I5" i="15"/>
  <c r="I4" i="15"/>
  <c r="I107" i="21"/>
  <c r="H107" i="21"/>
  <c r="G107" i="21"/>
  <c r="F107" i="21"/>
  <c r="E107" i="21"/>
  <c r="D107" i="21"/>
  <c r="I106" i="21"/>
  <c r="H106" i="21"/>
  <c r="G106" i="21"/>
  <c r="F106" i="21"/>
  <c r="E106" i="21"/>
  <c r="D106" i="21"/>
  <c r="I105" i="21"/>
  <c r="H105" i="21"/>
  <c r="G105" i="21"/>
  <c r="F105" i="21"/>
  <c r="E105" i="21"/>
  <c r="D105" i="21"/>
  <c r="I104" i="21"/>
  <c r="H104" i="21"/>
  <c r="G104" i="21"/>
  <c r="F104" i="21"/>
  <c r="E104" i="21"/>
  <c r="D104" i="21"/>
  <c r="I103" i="21"/>
  <c r="H103" i="21"/>
  <c r="G103" i="21"/>
  <c r="F103" i="21"/>
  <c r="E103" i="21"/>
  <c r="D103" i="21"/>
  <c r="I102" i="21"/>
  <c r="H102" i="21"/>
  <c r="G102" i="21"/>
  <c r="F102" i="21"/>
  <c r="E102" i="21"/>
  <c r="D102" i="21"/>
  <c r="I101" i="21"/>
  <c r="H101" i="21"/>
  <c r="G101" i="21"/>
  <c r="F101" i="21"/>
  <c r="E101" i="21"/>
  <c r="D101" i="21"/>
  <c r="I100" i="21"/>
  <c r="H100" i="21"/>
  <c r="G100" i="21"/>
  <c r="F100" i="21"/>
  <c r="E100" i="21"/>
  <c r="D100" i="21"/>
  <c r="I99" i="21"/>
  <c r="H99" i="21"/>
  <c r="G99" i="21"/>
  <c r="F99" i="21"/>
  <c r="E99" i="21"/>
  <c r="D99" i="21"/>
  <c r="I98" i="21"/>
  <c r="H98" i="21"/>
  <c r="G98" i="21"/>
  <c r="F98" i="21"/>
  <c r="E98" i="21"/>
  <c r="D98" i="21"/>
  <c r="I97" i="21"/>
  <c r="H97" i="21"/>
  <c r="G97" i="21"/>
  <c r="F97" i="21"/>
  <c r="E97" i="21"/>
  <c r="D97" i="21"/>
  <c r="I96" i="21"/>
  <c r="H96" i="21"/>
  <c r="G96" i="21"/>
  <c r="F96" i="21"/>
  <c r="E96" i="21"/>
  <c r="D96" i="21"/>
  <c r="I95" i="21"/>
  <c r="H95" i="21"/>
  <c r="G95" i="21"/>
  <c r="F95" i="21"/>
  <c r="E95" i="21"/>
  <c r="D95" i="21"/>
  <c r="I94" i="21"/>
  <c r="H94" i="21"/>
  <c r="G94" i="21"/>
  <c r="F94" i="21"/>
  <c r="E94" i="21"/>
  <c r="D94" i="21"/>
  <c r="I93" i="21"/>
  <c r="H93" i="21"/>
  <c r="G93" i="21"/>
  <c r="F93" i="21"/>
  <c r="E93" i="21"/>
  <c r="D93" i="21"/>
  <c r="I92" i="21"/>
  <c r="H92" i="21"/>
  <c r="G92" i="21"/>
  <c r="F92" i="21"/>
  <c r="E92" i="21"/>
  <c r="D92" i="21"/>
  <c r="I91" i="21"/>
  <c r="H91" i="21"/>
  <c r="G91" i="21"/>
  <c r="F91" i="21"/>
  <c r="E91" i="21"/>
  <c r="D91" i="21"/>
  <c r="I90" i="21"/>
  <c r="H90" i="21"/>
  <c r="G90" i="21"/>
  <c r="F90" i="21"/>
  <c r="E90" i="21"/>
  <c r="D90" i="21"/>
  <c r="I89" i="21"/>
  <c r="H89" i="21"/>
  <c r="G89" i="21"/>
  <c r="F89" i="21"/>
  <c r="E89" i="21"/>
  <c r="D89" i="21"/>
  <c r="I88" i="21"/>
  <c r="H88" i="21"/>
  <c r="G88" i="21"/>
  <c r="F88" i="21"/>
  <c r="E88" i="21"/>
  <c r="D88" i="21"/>
  <c r="I87" i="21"/>
  <c r="H87" i="21"/>
  <c r="G87" i="21"/>
  <c r="F87" i="21"/>
  <c r="E87" i="21"/>
  <c r="D87" i="21"/>
  <c r="I86" i="21"/>
  <c r="H86" i="21"/>
  <c r="G86" i="21"/>
  <c r="F86" i="21"/>
  <c r="E86" i="21"/>
  <c r="D86" i="21"/>
  <c r="I85" i="21"/>
  <c r="H85" i="21"/>
  <c r="G85" i="21"/>
  <c r="F85" i="21"/>
  <c r="E85" i="21"/>
  <c r="D85" i="21"/>
  <c r="I84" i="21"/>
  <c r="H84" i="21"/>
  <c r="G84" i="21"/>
  <c r="F84" i="21"/>
  <c r="E84" i="21"/>
  <c r="D84" i="21"/>
  <c r="I83" i="21"/>
  <c r="H83" i="21"/>
  <c r="G83" i="21"/>
  <c r="F83" i="21"/>
  <c r="E83" i="21"/>
  <c r="D83" i="21"/>
  <c r="I82" i="21"/>
  <c r="H82" i="21"/>
  <c r="G82" i="21"/>
  <c r="F82" i="21"/>
  <c r="E82" i="21"/>
  <c r="D82" i="21"/>
  <c r="I81" i="21"/>
  <c r="H81" i="21"/>
  <c r="G81" i="21"/>
  <c r="F81" i="21"/>
  <c r="E81" i="21"/>
  <c r="D81" i="21"/>
  <c r="I80" i="21"/>
  <c r="H80" i="21"/>
  <c r="G80" i="21"/>
  <c r="F80" i="21"/>
  <c r="E80" i="21"/>
  <c r="D80" i="21"/>
  <c r="I79" i="21"/>
  <c r="H79" i="21"/>
  <c r="G79" i="21"/>
  <c r="F79" i="21"/>
  <c r="E79" i="21"/>
  <c r="D79" i="21"/>
  <c r="I78" i="21"/>
  <c r="H78" i="21"/>
  <c r="G78" i="21"/>
  <c r="F78" i="21"/>
  <c r="E78" i="21"/>
  <c r="D78" i="21"/>
  <c r="I77" i="21"/>
  <c r="H77" i="21"/>
  <c r="G77" i="21"/>
  <c r="F77" i="21"/>
  <c r="E77" i="21"/>
  <c r="D77" i="21"/>
  <c r="I76" i="21"/>
  <c r="H76" i="21"/>
  <c r="G76" i="21"/>
  <c r="F76" i="21"/>
  <c r="E76" i="21"/>
  <c r="D76" i="21"/>
  <c r="I75" i="21"/>
  <c r="H75" i="21"/>
  <c r="G75" i="21"/>
  <c r="F75" i="21"/>
  <c r="E75" i="21"/>
  <c r="D75" i="21"/>
  <c r="I74" i="21"/>
  <c r="H74" i="21"/>
  <c r="G74" i="21"/>
  <c r="F74" i="21"/>
  <c r="E74" i="21"/>
  <c r="D74" i="21"/>
  <c r="I73" i="21"/>
  <c r="H73" i="21"/>
  <c r="G73" i="21"/>
  <c r="F73" i="21"/>
  <c r="E73" i="21"/>
  <c r="D73" i="21"/>
  <c r="I72" i="21"/>
  <c r="H72" i="21"/>
  <c r="G72" i="21"/>
  <c r="F72" i="21"/>
  <c r="E72" i="21"/>
  <c r="D72" i="21"/>
  <c r="I71" i="21"/>
  <c r="H71" i="21"/>
  <c r="G71" i="21"/>
  <c r="F71" i="21"/>
  <c r="E71" i="21"/>
  <c r="D71" i="21"/>
  <c r="I70" i="21"/>
  <c r="H70" i="21"/>
  <c r="G70" i="21"/>
  <c r="F70" i="21"/>
  <c r="E70" i="21"/>
  <c r="D70" i="21"/>
  <c r="I69" i="21"/>
  <c r="H69" i="21"/>
  <c r="G69" i="21"/>
  <c r="F69" i="21"/>
  <c r="E69" i="21"/>
  <c r="D69" i="21"/>
  <c r="I68" i="21"/>
  <c r="H68" i="21"/>
  <c r="G68" i="21"/>
  <c r="F68" i="21"/>
  <c r="E68" i="21"/>
  <c r="D68" i="21"/>
  <c r="I67" i="21"/>
  <c r="H67" i="21"/>
  <c r="G67" i="21"/>
  <c r="F67" i="21"/>
  <c r="E67" i="21"/>
  <c r="D67" i="21"/>
  <c r="I66" i="21"/>
  <c r="H66" i="21"/>
  <c r="G66" i="21"/>
  <c r="F66" i="21"/>
  <c r="E66" i="21"/>
  <c r="D66" i="21"/>
  <c r="I65" i="21"/>
  <c r="H65" i="21"/>
  <c r="G65" i="21"/>
  <c r="F65" i="21"/>
  <c r="E65" i="21"/>
  <c r="D65" i="21"/>
  <c r="I64" i="21"/>
  <c r="H64" i="21"/>
  <c r="G64" i="21"/>
  <c r="F64" i="21"/>
  <c r="E64" i="21"/>
  <c r="D64" i="21"/>
  <c r="I63" i="21"/>
  <c r="H63" i="21"/>
  <c r="G63" i="21"/>
  <c r="F63" i="21"/>
  <c r="E63" i="21"/>
  <c r="D63" i="21"/>
  <c r="I62" i="21"/>
  <c r="H62" i="21"/>
  <c r="G62" i="21"/>
  <c r="F62" i="21"/>
  <c r="E62" i="21"/>
  <c r="D62" i="21"/>
  <c r="I61" i="21"/>
  <c r="H61" i="21"/>
  <c r="G61" i="21"/>
  <c r="F61" i="21"/>
  <c r="E61" i="21"/>
  <c r="D61" i="21"/>
  <c r="I60" i="21"/>
  <c r="H60" i="21"/>
  <c r="G60" i="21"/>
  <c r="F60" i="21"/>
  <c r="E60" i="21"/>
  <c r="D60" i="21"/>
  <c r="I59" i="21"/>
  <c r="H59" i="21"/>
  <c r="G59" i="21"/>
  <c r="F59" i="21"/>
  <c r="E59" i="21"/>
  <c r="D59" i="21"/>
  <c r="I58" i="21"/>
  <c r="H58" i="21"/>
  <c r="G58" i="21"/>
  <c r="F58" i="21"/>
  <c r="E58" i="21"/>
  <c r="D58" i="21"/>
  <c r="I57" i="21"/>
  <c r="H57" i="21"/>
  <c r="G57" i="21"/>
  <c r="F57" i="21"/>
  <c r="E57" i="21"/>
  <c r="D57" i="21"/>
  <c r="I56" i="21"/>
  <c r="H56" i="21"/>
  <c r="G56" i="21"/>
  <c r="F56" i="21"/>
  <c r="E56" i="21"/>
  <c r="D56" i="21"/>
  <c r="I55" i="21"/>
  <c r="H55" i="21"/>
  <c r="G55" i="21"/>
  <c r="F55" i="21"/>
  <c r="E55" i="21"/>
  <c r="D55" i="21"/>
  <c r="I54" i="21"/>
  <c r="H54" i="21"/>
  <c r="G54" i="21"/>
  <c r="F54" i="21"/>
  <c r="E54" i="21"/>
  <c r="D54" i="21"/>
  <c r="I53" i="21"/>
  <c r="H53" i="21"/>
  <c r="G53" i="21"/>
  <c r="F53" i="21"/>
  <c r="E53" i="21"/>
  <c r="D53" i="21"/>
  <c r="I52" i="21"/>
  <c r="H52" i="21"/>
  <c r="G52" i="21"/>
  <c r="F52" i="21"/>
  <c r="E52" i="21"/>
  <c r="D52" i="21"/>
  <c r="I51" i="21"/>
  <c r="H51" i="21"/>
  <c r="G51" i="21"/>
  <c r="F51" i="21"/>
  <c r="E51" i="21"/>
  <c r="D51" i="21"/>
  <c r="I50" i="21"/>
  <c r="H50" i="21"/>
  <c r="G50" i="21"/>
  <c r="F50" i="21"/>
  <c r="E50" i="21"/>
  <c r="D50" i="21"/>
  <c r="I49" i="21"/>
  <c r="H49" i="21"/>
  <c r="G49" i="21"/>
  <c r="F49" i="21"/>
  <c r="E49" i="21"/>
  <c r="D49" i="21"/>
  <c r="I48" i="21"/>
  <c r="H48" i="21"/>
  <c r="G48" i="21"/>
  <c r="F48" i="21"/>
  <c r="E48" i="21"/>
  <c r="D48" i="21"/>
  <c r="I47" i="21"/>
  <c r="H47" i="21"/>
  <c r="G47" i="21"/>
  <c r="F47" i="21"/>
  <c r="E47" i="21"/>
  <c r="D47" i="21"/>
  <c r="I46" i="21"/>
  <c r="H46" i="21"/>
  <c r="G46" i="21"/>
  <c r="F46" i="21"/>
  <c r="E46" i="21"/>
  <c r="D46" i="21"/>
  <c r="I45" i="21"/>
  <c r="H45" i="21"/>
  <c r="G45" i="21"/>
  <c r="F45" i="21"/>
  <c r="E45" i="21"/>
  <c r="D45" i="21"/>
  <c r="I44" i="21"/>
  <c r="H44" i="21"/>
  <c r="G44" i="21"/>
  <c r="F44" i="21"/>
  <c r="E44" i="21"/>
  <c r="D44" i="21"/>
  <c r="I43" i="21"/>
  <c r="H43" i="21"/>
  <c r="G43" i="21"/>
  <c r="F43" i="21"/>
  <c r="E43" i="21"/>
  <c r="D43" i="21"/>
  <c r="I42" i="21"/>
  <c r="H42" i="21"/>
  <c r="G42" i="21"/>
  <c r="F42" i="21"/>
  <c r="E42" i="21"/>
  <c r="D42" i="21"/>
  <c r="I41" i="21"/>
  <c r="H41" i="21"/>
  <c r="G41" i="21"/>
  <c r="F41" i="21"/>
  <c r="E41" i="21"/>
  <c r="D41" i="21"/>
  <c r="I40" i="21"/>
  <c r="H40" i="21"/>
  <c r="G40" i="21"/>
  <c r="F40" i="21"/>
  <c r="E40" i="21"/>
  <c r="D40" i="21"/>
  <c r="I39" i="21"/>
  <c r="H39" i="21"/>
  <c r="G39" i="21"/>
  <c r="F39" i="21"/>
  <c r="E39" i="21"/>
  <c r="D39" i="21"/>
  <c r="I38" i="21"/>
  <c r="H38" i="21"/>
  <c r="G38" i="21"/>
  <c r="F38" i="21"/>
  <c r="E38" i="21"/>
  <c r="D38" i="21"/>
  <c r="I37" i="21"/>
  <c r="H37" i="21"/>
  <c r="G37" i="21"/>
  <c r="F37" i="21"/>
  <c r="E37" i="21"/>
  <c r="D37" i="21"/>
  <c r="I36" i="21"/>
  <c r="H36" i="21"/>
  <c r="G36" i="21"/>
  <c r="F36" i="21"/>
  <c r="E36" i="21"/>
  <c r="D36" i="21"/>
  <c r="I35" i="21"/>
  <c r="H35" i="21"/>
  <c r="G35" i="21"/>
  <c r="F35" i="21"/>
  <c r="E35" i="21"/>
  <c r="D35" i="21"/>
  <c r="I34" i="21"/>
  <c r="H34" i="21"/>
  <c r="G34" i="21"/>
  <c r="F34" i="21"/>
  <c r="E34" i="21"/>
  <c r="D34" i="21"/>
  <c r="I33" i="21"/>
  <c r="H33" i="21"/>
  <c r="G33" i="21"/>
  <c r="F33" i="21"/>
  <c r="E33" i="21"/>
  <c r="D33" i="21"/>
  <c r="I32" i="21"/>
  <c r="H32" i="21"/>
  <c r="G32" i="21"/>
  <c r="F32" i="21"/>
  <c r="E32" i="21"/>
  <c r="D32" i="21"/>
  <c r="I31" i="21"/>
  <c r="H31" i="21"/>
  <c r="G31" i="21"/>
  <c r="F31" i="21"/>
  <c r="E31" i="21"/>
  <c r="D31" i="21"/>
  <c r="I30" i="21"/>
  <c r="H30" i="21"/>
  <c r="G30" i="21"/>
  <c r="F30" i="21"/>
  <c r="E30" i="21"/>
  <c r="D30" i="21"/>
  <c r="I29" i="21"/>
  <c r="H29" i="21"/>
  <c r="G29" i="21"/>
  <c r="F29" i="21"/>
  <c r="E29" i="21"/>
  <c r="D29" i="21"/>
  <c r="I28" i="21"/>
  <c r="H28" i="21"/>
  <c r="G28" i="21"/>
  <c r="F28" i="21"/>
  <c r="E28" i="21"/>
  <c r="D28" i="21"/>
  <c r="I27" i="21"/>
  <c r="H27" i="21"/>
  <c r="G27" i="21"/>
  <c r="F27" i="21"/>
  <c r="E27" i="21"/>
  <c r="D27" i="21"/>
  <c r="I26" i="21"/>
  <c r="H26" i="21"/>
  <c r="G26" i="21"/>
  <c r="F26" i="21"/>
  <c r="E26" i="21"/>
  <c r="D26" i="21"/>
  <c r="I25" i="21"/>
  <c r="H25" i="21"/>
  <c r="G25" i="21"/>
  <c r="F25" i="21"/>
  <c r="E25" i="21"/>
  <c r="D25" i="21"/>
  <c r="I24" i="21"/>
  <c r="H24" i="21"/>
  <c r="G24" i="21"/>
  <c r="F24" i="21"/>
  <c r="E24" i="21"/>
  <c r="D24" i="21"/>
  <c r="I23" i="21"/>
  <c r="H23" i="21"/>
  <c r="G23" i="21"/>
  <c r="F23" i="21"/>
  <c r="E23" i="21"/>
  <c r="D23" i="21"/>
  <c r="I22" i="21"/>
  <c r="H22" i="21"/>
  <c r="G22" i="21"/>
  <c r="F22" i="21"/>
  <c r="E22" i="21"/>
  <c r="D22" i="21"/>
  <c r="I21" i="21"/>
  <c r="H21" i="21"/>
  <c r="G21" i="21"/>
  <c r="F21" i="21"/>
  <c r="E21" i="21"/>
  <c r="D21" i="21"/>
  <c r="I20" i="21"/>
  <c r="H20" i="21"/>
  <c r="G20" i="21"/>
  <c r="F20" i="21"/>
  <c r="E20" i="21"/>
  <c r="D20" i="21"/>
  <c r="I19" i="21"/>
  <c r="H19" i="21"/>
  <c r="G19" i="21"/>
  <c r="F19" i="21"/>
  <c r="E19" i="21"/>
  <c r="D19" i="21"/>
  <c r="I18" i="21"/>
  <c r="H18" i="21"/>
  <c r="G18" i="21"/>
  <c r="F18" i="21"/>
  <c r="E18" i="21"/>
  <c r="D18" i="21"/>
  <c r="I17" i="21"/>
  <c r="H17" i="21"/>
  <c r="G17" i="21"/>
  <c r="F17" i="21"/>
  <c r="E17" i="21"/>
  <c r="D17" i="21"/>
  <c r="I16" i="21"/>
  <c r="H16" i="21"/>
  <c r="G16" i="21"/>
  <c r="F16" i="21"/>
  <c r="E16" i="21"/>
  <c r="D16" i="21"/>
  <c r="I15" i="21"/>
  <c r="H15" i="21"/>
  <c r="G15" i="21"/>
  <c r="F15" i="21"/>
  <c r="E15" i="21"/>
  <c r="D15" i="21"/>
  <c r="I14" i="21"/>
  <c r="H14" i="21"/>
  <c r="G14" i="21"/>
  <c r="F14" i="21"/>
  <c r="E14" i="21"/>
  <c r="D14" i="21"/>
  <c r="I13" i="21"/>
  <c r="H13" i="21"/>
  <c r="G13" i="21"/>
  <c r="F13" i="21"/>
  <c r="E13" i="21"/>
  <c r="D13" i="21"/>
  <c r="I12" i="21"/>
  <c r="H12" i="21"/>
  <c r="G12" i="21"/>
  <c r="F12" i="21"/>
  <c r="E12" i="21"/>
  <c r="D12" i="21"/>
  <c r="I11" i="21"/>
  <c r="H11" i="21"/>
  <c r="G11" i="21"/>
  <c r="F11" i="21"/>
  <c r="E11" i="21"/>
  <c r="D11" i="21"/>
  <c r="I10" i="21"/>
  <c r="H10" i="21"/>
  <c r="G10" i="21"/>
  <c r="F10" i="21"/>
  <c r="E10" i="21"/>
  <c r="D10" i="21"/>
  <c r="I9" i="21"/>
  <c r="H9" i="21"/>
  <c r="G9" i="21"/>
  <c r="F9" i="21"/>
  <c r="E9" i="21"/>
  <c r="D9" i="21"/>
  <c r="I8" i="21"/>
  <c r="H8" i="21"/>
  <c r="G8" i="21"/>
  <c r="F8" i="21"/>
  <c r="E8" i="21"/>
  <c r="D8" i="21"/>
  <c r="I7" i="21"/>
  <c r="H7" i="21"/>
  <c r="G7" i="21"/>
  <c r="F7" i="21"/>
  <c r="E7" i="21"/>
  <c r="D7" i="21"/>
  <c r="I6" i="21"/>
  <c r="H6" i="21"/>
  <c r="G6" i="21"/>
  <c r="F6" i="21"/>
  <c r="E6" i="21"/>
  <c r="D6" i="21"/>
  <c r="I5" i="21"/>
  <c r="H5" i="21"/>
  <c r="G5" i="21"/>
  <c r="F5" i="21"/>
  <c r="E5" i="21"/>
  <c r="D5" i="21"/>
  <c r="I4" i="21"/>
  <c r="H4" i="21"/>
  <c r="G4" i="21"/>
  <c r="F4" i="21"/>
  <c r="E4" i="21"/>
  <c r="D4" i="21"/>
  <c r="H57" i="20"/>
  <c r="G57" i="20"/>
  <c r="F57" i="20"/>
  <c r="E57" i="20"/>
  <c r="D57" i="20"/>
  <c r="H56" i="20"/>
  <c r="G56" i="20"/>
  <c r="F56" i="20"/>
  <c r="E56" i="20"/>
  <c r="D56" i="20"/>
  <c r="H55" i="20"/>
  <c r="G55" i="20"/>
  <c r="F55" i="20"/>
  <c r="E55" i="20"/>
  <c r="D55" i="20"/>
  <c r="H54" i="20"/>
  <c r="G54" i="20"/>
  <c r="F54" i="20"/>
  <c r="E54" i="20"/>
  <c r="D54" i="20"/>
  <c r="H53" i="20"/>
  <c r="G53" i="20"/>
  <c r="F53" i="20"/>
  <c r="E53" i="20"/>
  <c r="D53" i="20"/>
  <c r="H52" i="20"/>
  <c r="G52" i="20"/>
  <c r="F52" i="20"/>
  <c r="E52" i="20"/>
  <c r="D52" i="20"/>
  <c r="H51" i="20"/>
  <c r="G51" i="20"/>
  <c r="F51" i="20"/>
  <c r="E51" i="20"/>
  <c r="D51" i="20"/>
  <c r="H50" i="20"/>
  <c r="G50" i="20"/>
  <c r="F50" i="20"/>
  <c r="H49" i="20"/>
  <c r="G49" i="20"/>
  <c r="F49" i="20"/>
  <c r="H48" i="20"/>
  <c r="G48" i="20"/>
  <c r="F48" i="20"/>
  <c r="E48" i="20"/>
  <c r="D48" i="20"/>
  <c r="H47" i="20"/>
  <c r="G47" i="20"/>
  <c r="F47" i="20"/>
  <c r="E47" i="20"/>
  <c r="D47" i="20"/>
  <c r="H46" i="20"/>
  <c r="G46" i="20"/>
  <c r="F46" i="20"/>
  <c r="E46" i="20"/>
  <c r="D46" i="20"/>
  <c r="H45" i="20"/>
  <c r="G45" i="20"/>
  <c r="F45" i="20"/>
  <c r="E45" i="20"/>
  <c r="D45" i="20"/>
  <c r="H44" i="20"/>
  <c r="G44" i="20"/>
  <c r="F44" i="20"/>
  <c r="E44" i="20"/>
  <c r="D44" i="20"/>
  <c r="H43" i="20"/>
  <c r="G43" i="20"/>
  <c r="F43" i="20"/>
  <c r="E43" i="20"/>
  <c r="D43" i="20"/>
  <c r="H42" i="20"/>
  <c r="G42" i="20"/>
  <c r="F42" i="20"/>
  <c r="E42" i="20"/>
  <c r="D42" i="20"/>
  <c r="H41" i="20"/>
  <c r="G41" i="20"/>
  <c r="F41" i="20"/>
  <c r="E41" i="20"/>
  <c r="D41" i="20"/>
  <c r="H40" i="20"/>
  <c r="G40" i="20"/>
  <c r="F40" i="20"/>
  <c r="E40" i="20"/>
  <c r="D40" i="20"/>
  <c r="H39" i="20"/>
  <c r="G39" i="20"/>
  <c r="F39" i="20"/>
  <c r="E39" i="20"/>
  <c r="D39" i="20"/>
  <c r="H38" i="20"/>
  <c r="G38" i="20"/>
  <c r="F38" i="20"/>
  <c r="E38" i="20"/>
  <c r="D38" i="20"/>
  <c r="H37" i="20"/>
  <c r="G37" i="20"/>
  <c r="F37" i="20"/>
  <c r="E37" i="20"/>
  <c r="D37" i="20"/>
  <c r="H36" i="20"/>
  <c r="G36" i="20"/>
  <c r="F36" i="20"/>
  <c r="E36" i="20"/>
  <c r="D36" i="20"/>
  <c r="H35" i="20"/>
  <c r="G35" i="20"/>
  <c r="F35" i="20"/>
  <c r="E35" i="20"/>
  <c r="D35" i="20"/>
  <c r="H34" i="20"/>
  <c r="G34" i="20"/>
  <c r="F34" i="20"/>
  <c r="E34" i="20"/>
  <c r="D34" i="20"/>
  <c r="H33" i="20"/>
  <c r="G33" i="20"/>
  <c r="F33" i="20"/>
  <c r="E33" i="20"/>
  <c r="D33" i="20"/>
  <c r="H32" i="20"/>
  <c r="G32" i="20"/>
  <c r="F32" i="20"/>
  <c r="E32" i="20"/>
  <c r="D32" i="20"/>
  <c r="H31" i="20"/>
  <c r="G31" i="20"/>
  <c r="F31" i="20"/>
  <c r="E31" i="20"/>
  <c r="D31" i="20"/>
  <c r="H30" i="20"/>
  <c r="G30" i="20"/>
  <c r="F30" i="20"/>
  <c r="E30" i="20"/>
  <c r="D30" i="20"/>
  <c r="H29" i="20"/>
  <c r="G29" i="20"/>
  <c r="F29" i="20"/>
  <c r="E29" i="20"/>
  <c r="D29" i="20"/>
  <c r="H28" i="20"/>
  <c r="G28" i="20"/>
  <c r="F28" i="20"/>
  <c r="E28" i="20"/>
  <c r="D28" i="20"/>
  <c r="H27" i="20"/>
  <c r="G27" i="20"/>
  <c r="F27" i="20"/>
  <c r="E27" i="20"/>
  <c r="D27" i="20"/>
  <c r="H26" i="20"/>
  <c r="G26" i="20"/>
  <c r="F26" i="20"/>
  <c r="E26" i="20"/>
  <c r="D26" i="20"/>
  <c r="H25" i="20"/>
  <c r="G25" i="20"/>
  <c r="F25" i="20"/>
  <c r="E25" i="20"/>
  <c r="D25" i="20"/>
  <c r="H24" i="20"/>
  <c r="G24" i="20"/>
  <c r="F24" i="20"/>
  <c r="E24" i="20"/>
  <c r="D24" i="20"/>
  <c r="H23" i="20"/>
  <c r="G23" i="20"/>
  <c r="F23" i="20"/>
  <c r="E23" i="20"/>
  <c r="D23" i="20"/>
  <c r="H22" i="20"/>
  <c r="G22" i="20"/>
  <c r="F22" i="20"/>
  <c r="E22" i="20"/>
  <c r="D22" i="20"/>
  <c r="H21" i="20"/>
  <c r="G21" i="20"/>
  <c r="F21" i="20"/>
  <c r="E21" i="20"/>
  <c r="D21" i="20"/>
  <c r="H20" i="20"/>
  <c r="G20" i="20"/>
  <c r="F20" i="20"/>
  <c r="E20" i="20"/>
  <c r="D20" i="20"/>
  <c r="H19" i="20"/>
  <c r="G19" i="20"/>
  <c r="F19" i="20"/>
  <c r="E19" i="20"/>
  <c r="D19" i="20"/>
  <c r="H18" i="20"/>
  <c r="G18" i="20"/>
  <c r="F18" i="20"/>
  <c r="E18" i="20"/>
  <c r="D18" i="20"/>
  <c r="H17" i="20"/>
  <c r="G17" i="20"/>
  <c r="F17" i="20"/>
  <c r="E17" i="20"/>
  <c r="D17" i="20"/>
  <c r="H16" i="20"/>
  <c r="G16" i="20"/>
  <c r="F16" i="20"/>
  <c r="E16" i="20"/>
  <c r="D16" i="20"/>
  <c r="H15" i="20"/>
  <c r="G15" i="20"/>
  <c r="F15" i="20"/>
  <c r="E15" i="20"/>
  <c r="D15" i="20"/>
  <c r="H14" i="20"/>
  <c r="G14" i="20"/>
  <c r="F14" i="20"/>
  <c r="E14" i="20"/>
  <c r="D14" i="20"/>
  <c r="H13" i="20"/>
  <c r="G13" i="20"/>
  <c r="F13" i="20"/>
  <c r="E13" i="20"/>
  <c r="D13" i="20"/>
  <c r="H12" i="20"/>
  <c r="G12" i="20"/>
  <c r="F12" i="20"/>
  <c r="E12" i="20"/>
  <c r="D12" i="20"/>
  <c r="H11" i="20"/>
  <c r="G11" i="20"/>
  <c r="F11" i="20"/>
  <c r="E11" i="20"/>
  <c r="D11" i="20"/>
  <c r="H10" i="20"/>
  <c r="G10" i="20"/>
  <c r="F10" i="20"/>
  <c r="E10" i="20"/>
  <c r="D10" i="20"/>
  <c r="H9" i="20"/>
  <c r="G9" i="20"/>
  <c r="F9" i="20"/>
  <c r="E9" i="20"/>
  <c r="D9" i="20"/>
  <c r="H8" i="20"/>
  <c r="G8" i="20"/>
  <c r="F8" i="20"/>
  <c r="E8" i="20"/>
  <c r="D8" i="20"/>
  <c r="H7" i="20"/>
  <c r="G7" i="20"/>
  <c r="F7" i="20"/>
  <c r="E7" i="20"/>
  <c r="D7" i="20"/>
  <c r="H6" i="20"/>
  <c r="G6" i="20"/>
  <c r="F6" i="20"/>
  <c r="E6" i="20"/>
  <c r="D6" i="20"/>
  <c r="H5" i="20"/>
  <c r="G5" i="20"/>
  <c r="F5" i="20"/>
  <c r="E5" i="20"/>
  <c r="D5" i="20"/>
  <c r="H4" i="20"/>
  <c r="G4" i="20"/>
  <c r="F4" i="20"/>
  <c r="E4" i="20"/>
  <c r="D4" i="20"/>
  <c r="H54" i="19"/>
  <c r="G54" i="19"/>
  <c r="F54" i="19"/>
  <c r="E54" i="19"/>
  <c r="D54" i="19"/>
  <c r="H53" i="19"/>
  <c r="G53" i="19"/>
  <c r="F53" i="19"/>
  <c r="E53" i="19"/>
  <c r="D53" i="19"/>
  <c r="H52" i="19"/>
  <c r="G52" i="19"/>
  <c r="F52" i="19"/>
  <c r="E52" i="19"/>
  <c r="D52" i="19"/>
  <c r="H51" i="19"/>
  <c r="G51" i="19"/>
  <c r="F51" i="19"/>
  <c r="E51" i="19"/>
  <c r="D51" i="19"/>
  <c r="H50" i="19"/>
  <c r="G50" i="19"/>
  <c r="F50" i="19"/>
  <c r="E50" i="19"/>
  <c r="D50" i="19"/>
  <c r="H49" i="19"/>
  <c r="G49" i="19"/>
  <c r="F49" i="19"/>
  <c r="E49" i="19"/>
  <c r="D49" i="19"/>
  <c r="H48" i="19"/>
  <c r="G48" i="19"/>
  <c r="F48" i="19"/>
  <c r="E48" i="19"/>
  <c r="D48" i="19"/>
  <c r="H47" i="19"/>
  <c r="G47" i="19"/>
  <c r="F47" i="19"/>
  <c r="E47" i="19"/>
  <c r="D47" i="19"/>
  <c r="H46" i="19"/>
  <c r="G46" i="19"/>
  <c r="F46" i="19"/>
  <c r="E46" i="19"/>
  <c r="D46" i="19"/>
  <c r="H45" i="19"/>
  <c r="G45" i="19"/>
  <c r="F45" i="19"/>
  <c r="E45" i="19"/>
  <c r="D45" i="19"/>
  <c r="H44" i="19"/>
  <c r="G44" i="19"/>
  <c r="F44" i="19"/>
  <c r="E44" i="19"/>
  <c r="D44" i="19"/>
  <c r="H43" i="19"/>
  <c r="G43" i="19"/>
  <c r="F43" i="19"/>
  <c r="E43" i="19"/>
  <c r="D43" i="19"/>
  <c r="H42" i="19"/>
  <c r="G42" i="19"/>
  <c r="F42" i="19"/>
  <c r="E42" i="19"/>
  <c r="D42" i="19"/>
  <c r="H41" i="19"/>
  <c r="G41" i="19"/>
  <c r="F41" i="19"/>
  <c r="E41" i="19"/>
  <c r="D41" i="19"/>
  <c r="H40" i="19"/>
  <c r="G40" i="19"/>
  <c r="F40" i="19"/>
  <c r="E40" i="19"/>
  <c r="D40" i="19"/>
  <c r="H39" i="19"/>
  <c r="G39" i="19"/>
  <c r="F39" i="19"/>
  <c r="E39" i="19"/>
  <c r="D39" i="19"/>
  <c r="H38" i="19"/>
  <c r="G38" i="19"/>
  <c r="F38" i="19"/>
  <c r="E38" i="19"/>
  <c r="D38" i="19"/>
  <c r="H37" i="19"/>
  <c r="G37" i="19"/>
  <c r="F37" i="19"/>
  <c r="E37" i="19"/>
  <c r="D37" i="19"/>
  <c r="H36" i="19"/>
  <c r="G36" i="19"/>
  <c r="F36" i="19"/>
  <c r="E36" i="19"/>
  <c r="D36" i="19"/>
  <c r="H35" i="19"/>
  <c r="G35" i="19"/>
  <c r="F35" i="19"/>
  <c r="E35" i="19"/>
  <c r="D35" i="19"/>
  <c r="H34" i="19"/>
  <c r="G34" i="19"/>
  <c r="F34" i="19"/>
  <c r="E34" i="19"/>
  <c r="D34" i="19"/>
  <c r="H33" i="19"/>
  <c r="G33" i="19"/>
  <c r="F33" i="19"/>
  <c r="E33" i="19"/>
  <c r="D33" i="19"/>
  <c r="H32" i="19"/>
  <c r="G32" i="19"/>
  <c r="F32" i="19"/>
  <c r="E32" i="19"/>
  <c r="D32" i="19"/>
  <c r="H31" i="19"/>
  <c r="G31" i="19"/>
  <c r="F31" i="19"/>
  <c r="E31" i="19"/>
  <c r="D31" i="19"/>
  <c r="H30" i="19"/>
  <c r="G30" i="19"/>
  <c r="F30" i="19"/>
  <c r="E30" i="19"/>
  <c r="D30" i="19"/>
  <c r="H29" i="19"/>
  <c r="G29" i="19"/>
  <c r="F29" i="19"/>
  <c r="E29" i="19"/>
  <c r="D29" i="19"/>
  <c r="H28" i="19"/>
  <c r="G28" i="19"/>
  <c r="F28" i="19"/>
  <c r="E28" i="19"/>
  <c r="D28" i="19"/>
  <c r="H27" i="19"/>
  <c r="G27" i="19"/>
  <c r="F27" i="19"/>
  <c r="E27" i="19"/>
  <c r="D27" i="19"/>
  <c r="H26" i="19"/>
  <c r="G26" i="19"/>
  <c r="F26" i="19"/>
  <c r="E26" i="19"/>
  <c r="D26" i="19"/>
  <c r="H25" i="19"/>
  <c r="G25" i="19"/>
  <c r="F25" i="19"/>
  <c r="E25" i="19"/>
  <c r="D25" i="19"/>
  <c r="H24" i="19"/>
  <c r="G24" i="19"/>
  <c r="F24" i="19"/>
  <c r="E24" i="19"/>
  <c r="D24" i="19"/>
  <c r="H23" i="19"/>
  <c r="G23" i="19"/>
  <c r="F23" i="19"/>
  <c r="E23" i="19"/>
  <c r="D23" i="19"/>
  <c r="H22" i="19"/>
  <c r="G22" i="19"/>
  <c r="F22" i="19"/>
  <c r="E22" i="19"/>
  <c r="D22" i="19"/>
  <c r="H21" i="19"/>
  <c r="G21" i="19"/>
  <c r="F21" i="19"/>
  <c r="E21" i="19"/>
  <c r="D21" i="19"/>
  <c r="H20" i="19"/>
  <c r="G20" i="19"/>
  <c r="F20" i="19"/>
  <c r="E20" i="19"/>
  <c r="D20" i="19"/>
  <c r="H19" i="19"/>
  <c r="G19" i="19"/>
  <c r="F19" i="19"/>
  <c r="E19" i="19"/>
  <c r="D19" i="19"/>
  <c r="H18" i="19"/>
  <c r="G18" i="19"/>
  <c r="F18" i="19"/>
  <c r="E18" i="19"/>
  <c r="D18" i="19"/>
  <c r="H17" i="19"/>
  <c r="G17" i="19"/>
  <c r="F17" i="19"/>
  <c r="E17" i="19"/>
  <c r="D17" i="19"/>
  <c r="H16" i="19"/>
  <c r="G16" i="19"/>
  <c r="F16" i="19"/>
  <c r="E16" i="19"/>
  <c r="D16" i="19"/>
  <c r="H15" i="19"/>
  <c r="G15" i="19"/>
  <c r="F15" i="19"/>
  <c r="E15" i="19"/>
  <c r="D15" i="19"/>
  <c r="H14" i="19"/>
  <c r="G14" i="19"/>
  <c r="F14" i="19"/>
  <c r="E14" i="19"/>
  <c r="D14" i="19"/>
  <c r="H13" i="19"/>
  <c r="G13" i="19"/>
  <c r="F13" i="19"/>
  <c r="E13" i="19"/>
  <c r="D13" i="19"/>
  <c r="H12" i="19"/>
  <c r="G12" i="19"/>
  <c r="F12" i="19"/>
  <c r="E12" i="19"/>
  <c r="D12" i="19"/>
  <c r="H11" i="19"/>
  <c r="G11" i="19"/>
  <c r="F11" i="19"/>
  <c r="E11" i="19"/>
  <c r="D11" i="19"/>
  <c r="H10" i="19"/>
  <c r="G10" i="19"/>
  <c r="F10" i="19"/>
  <c r="E10" i="19"/>
  <c r="D10" i="19"/>
  <c r="H9" i="19"/>
  <c r="G9" i="19"/>
  <c r="F9" i="19"/>
  <c r="E9" i="19"/>
  <c r="D9" i="19"/>
  <c r="H8" i="19"/>
  <c r="G8" i="19"/>
  <c r="F8" i="19"/>
  <c r="E8" i="19"/>
  <c r="D8" i="19"/>
  <c r="H7" i="19"/>
  <c r="G7" i="19"/>
  <c r="F7" i="19"/>
  <c r="E7" i="19"/>
  <c r="D7" i="19"/>
  <c r="H6" i="19"/>
  <c r="G6" i="19"/>
  <c r="F6" i="19"/>
  <c r="E6" i="19"/>
  <c r="D6" i="19"/>
  <c r="H5" i="19"/>
  <c r="G5" i="19"/>
  <c r="F5" i="19"/>
  <c r="E5" i="19"/>
  <c r="D5" i="19"/>
  <c r="H4" i="19"/>
  <c r="G4" i="19"/>
  <c r="F4" i="19"/>
  <c r="E4" i="19"/>
  <c r="D4" i="19"/>
  <c r="H46" i="18"/>
  <c r="G46" i="18"/>
  <c r="F46" i="18"/>
  <c r="E46" i="18"/>
  <c r="D46" i="18"/>
  <c r="H45" i="18"/>
  <c r="G45" i="18"/>
  <c r="F45" i="18"/>
  <c r="E45" i="18"/>
  <c r="D45" i="18"/>
  <c r="H44" i="18"/>
  <c r="G44" i="18"/>
  <c r="F44" i="18"/>
  <c r="E44" i="18"/>
  <c r="D44" i="18"/>
  <c r="H43" i="18"/>
  <c r="G43" i="18"/>
  <c r="F43" i="18"/>
  <c r="E43" i="18"/>
  <c r="D43" i="18"/>
  <c r="H42" i="18"/>
  <c r="G42" i="18"/>
  <c r="F42" i="18"/>
  <c r="E42" i="18"/>
  <c r="D42" i="18"/>
  <c r="H41" i="18"/>
  <c r="G41" i="18"/>
  <c r="F41" i="18"/>
  <c r="E41" i="18"/>
  <c r="D41" i="18"/>
  <c r="H40" i="18"/>
  <c r="G40" i="18"/>
  <c r="F40" i="18"/>
  <c r="E40" i="18"/>
  <c r="D40" i="18"/>
  <c r="H39" i="18"/>
  <c r="G39" i="18"/>
  <c r="F39" i="18"/>
  <c r="E39" i="18"/>
  <c r="D39" i="18"/>
  <c r="H38" i="18"/>
  <c r="G38" i="18"/>
  <c r="F38" i="18"/>
  <c r="E38" i="18"/>
  <c r="D38" i="18"/>
  <c r="H37" i="18"/>
  <c r="G37" i="18"/>
  <c r="F37" i="18"/>
  <c r="E37" i="18"/>
  <c r="D37" i="18"/>
  <c r="H36" i="18"/>
  <c r="G36" i="18"/>
  <c r="F36" i="18"/>
  <c r="E36" i="18"/>
  <c r="D36" i="18"/>
  <c r="H35" i="18"/>
  <c r="G35" i="18"/>
  <c r="F35" i="18"/>
  <c r="E35" i="18"/>
  <c r="D35" i="18"/>
  <c r="H34" i="18"/>
  <c r="G34" i="18"/>
  <c r="F34" i="18"/>
  <c r="E34" i="18"/>
  <c r="D34" i="18"/>
  <c r="H33" i="18"/>
  <c r="G33" i="18"/>
  <c r="F33" i="18"/>
  <c r="E33" i="18"/>
  <c r="D33" i="18"/>
  <c r="H32" i="18"/>
  <c r="G32" i="18"/>
  <c r="F32" i="18"/>
  <c r="E32" i="18"/>
  <c r="D32" i="18"/>
  <c r="H31" i="18"/>
  <c r="G31" i="18"/>
  <c r="F31" i="18"/>
  <c r="E31" i="18"/>
  <c r="D31" i="18"/>
  <c r="H30" i="18"/>
  <c r="G30" i="18"/>
  <c r="F30" i="18"/>
  <c r="E30" i="18"/>
  <c r="D30" i="18"/>
  <c r="H29" i="18"/>
  <c r="G29" i="18"/>
  <c r="F29" i="18"/>
  <c r="E29" i="18"/>
  <c r="D29" i="18"/>
  <c r="H28" i="18"/>
  <c r="G28" i="18"/>
  <c r="F28" i="18"/>
  <c r="E28" i="18"/>
  <c r="D28" i="18"/>
  <c r="H27" i="18"/>
  <c r="G27" i="18"/>
  <c r="F27" i="18"/>
  <c r="E27" i="18"/>
  <c r="D27" i="18"/>
  <c r="H26" i="18"/>
  <c r="G26" i="18"/>
  <c r="F26" i="18"/>
  <c r="E26" i="18"/>
  <c r="D26" i="18"/>
  <c r="H25" i="18"/>
  <c r="G25" i="18"/>
  <c r="F25" i="18"/>
  <c r="E25" i="18"/>
  <c r="D25" i="18"/>
  <c r="H24" i="18"/>
  <c r="G24" i="18"/>
  <c r="F24" i="18"/>
  <c r="E24" i="18"/>
  <c r="D24" i="18"/>
  <c r="H23" i="18"/>
  <c r="G23" i="18"/>
  <c r="F23" i="18"/>
  <c r="E23" i="18"/>
  <c r="D23" i="18"/>
  <c r="H22" i="18"/>
  <c r="G22" i="18"/>
  <c r="F22" i="18"/>
  <c r="E22" i="18"/>
  <c r="D22" i="18"/>
  <c r="H21" i="18"/>
  <c r="G21" i="18"/>
  <c r="F21" i="18"/>
  <c r="E21" i="18"/>
  <c r="D21" i="18"/>
  <c r="H20" i="18"/>
  <c r="G20" i="18"/>
  <c r="F20" i="18"/>
  <c r="E20" i="18"/>
  <c r="D20" i="18"/>
  <c r="H19" i="18"/>
  <c r="G19" i="18"/>
  <c r="F19" i="18"/>
  <c r="E19" i="18"/>
  <c r="D19" i="18"/>
  <c r="H18" i="18"/>
  <c r="G18" i="18"/>
  <c r="F18" i="18"/>
  <c r="E18" i="18"/>
  <c r="D18" i="18"/>
  <c r="H17" i="18"/>
  <c r="G17" i="18"/>
  <c r="F17" i="18"/>
  <c r="E17" i="18"/>
  <c r="D17" i="18"/>
  <c r="H16" i="18"/>
  <c r="G16" i="18"/>
  <c r="F16" i="18"/>
  <c r="E16" i="18"/>
  <c r="D16" i="18"/>
  <c r="H15" i="18"/>
  <c r="G15" i="18"/>
  <c r="F15" i="18"/>
  <c r="E15" i="18"/>
  <c r="D15" i="18"/>
  <c r="H14" i="18"/>
  <c r="G14" i="18"/>
  <c r="F14" i="18"/>
  <c r="E14" i="18"/>
  <c r="D14" i="18"/>
  <c r="H13" i="18"/>
  <c r="G13" i="18"/>
  <c r="F13" i="18"/>
  <c r="E13" i="18"/>
  <c r="D13" i="18"/>
  <c r="H12" i="18"/>
  <c r="G12" i="18"/>
  <c r="F12" i="18"/>
  <c r="E12" i="18"/>
  <c r="D12" i="18"/>
  <c r="H11" i="18"/>
  <c r="G11" i="18"/>
  <c r="F11" i="18"/>
  <c r="E11" i="18"/>
  <c r="D11" i="18"/>
  <c r="H10" i="18"/>
  <c r="G10" i="18"/>
  <c r="F10" i="18"/>
  <c r="E10" i="18"/>
  <c r="D10" i="18"/>
  <c r="H9" i="18"/>
  <c r="G9" i="18"/>
  <c r="F9" i="18"/>
  <c r="E9" i="18"/>
  <c r="D9" i="18"/>
  <c r="H8" i="18"/>
  <c r="G8" i="18"/>
  <c r="F8" i="18"/>
  <c r="E8" i="18"/>
  <c r="D8" i="18"/>
  <c r="H7" i="18"/>
  <c r="G7" i="18"/>
  <c r="F7" i="18"/>
  <c r="E7" i="18"/>
  <c r="D7" i="18"/>
  <c r="H6" i="18"/>
  <c r="G6" i="18"/>
  <c r="F6" i="18"/>
  <c r="E6" i="18"/>
  <c r="D6" i="18"/>
  <c r="H5" i="18"/>
  <c r="G5" i="18"/>
  <c r="F5" i="18"/>
  <c r="E5" i="18"/>
  <c r="D5" i="18"/>
  <c r="H4" i="18"/>
  <c r="G4" i="18"/>
  <c r="F4" i="18"/>
  <c r="E4" i="18"/>
  <c r="D4" i="18"/>
  <c r="H4" i="15"/>
  <c r="H5" i="15"/>
  <c r="H6" i="15"/>
  <c r="H7" i="15"/>
  <c r="H8" i="15"/>
  <c r="H9" i="15"/>
  <c r="H10" i="15"/>
  <c r="H11" i="15"/>
  <c r="H12" i="15"/>
  <c r="H13" i="15"/>
  <c r="H14" i="15"/>
  <c r="H15" i="15"/>
  <c r="H16" i="15"/>
  <c r="H17" i="15"/>
  <c r="H18" i="15"/>
  <c r="H19" i="15"/>
  <c r="H20" i="15"/>
  <c r="H21" i="15"/>
  <c r="H22" i="15"/>
  <c r="H23" i="15"/>
  <c r="H24" i="15"/>
  <c r="H25" i="15"/>
  <c r="H26" i="15"/>
  <c r="H27" i="15"/>
  <c r="H28" i="15"/>
  <c r="H29" i="15"/>
  <c r="H30" i="15"/>
  <c r="H31" i="15"/>
  <c r="H32" i="15"/>
  <c r="H33" i="15"/>
  <c r="H34" i="15"/>
  <c r="H35" i="15"/>
  <c r="H36" i="15"/>
  <c r="H37" i="15"/>
  <c r="H38" i="15"/>
  <c r="H39" i="15"/>
  <c r="H40" i="15"/>
  <c r="H41" i="15"/>
  <c r="H42" i="15"/>
  <c r="H43" i="15"/>
  <c r="H44" i="15"/>
  <c r="H45" i="15"/>
  <c r="H46" i="15"/>
  <c r="H47" i="15"/>
  <c r="H48" i="15"/>
  <c r="H49" i="15"/>
  <c r="H50" i="15"/>
  <c r="H51" i="15"/>
  <c r="H52" i="15"/>
  <c r="H53" i="15"/>
  <c r="H54" i="15"/>
  <c r="H55" i="15"/>
  <c r="H56" i="15"/>
  <c r="H57" i="15"/>
  <c r="H58" i="15"/>
  <c r="H59" i="15"/>
  <c r="H60" i="15"/>
  <c r="H61" i="15"/>
  <c r="G4" i="15"/>
  <c r="G5" i="15"/>
  <c r="G6" i="15"/>
  <c r="G7" i="15"/>
  <c r="G8" i="15"/>
  <c r="G9" i="15"/>
  <c r="G10" i="15"/>
  <c r="G11" i="15"/>
  <c r="G12" i="15"/>
  <c r="G13" i="15"/>
  <c r="G14" i="15"/>
  <c r="G15" i="15"/>
  <c r="G16" i="15"/>
  <c r="G17" i="15"/>
  <c r="G18" i="15"/>
  <c r="G19" i="15"/>
  <c r="G20" i="15"/>
  <c r="G21" i="15"/>
  <c r="G22" i="15"/>
  <c r="G23" i="15"/>
  <c r="G24" i="15"/>
  <c r="G25" i="15"/>
  <c r="G26" i="15"/>
  <c r="G27" i="15"/>
  <c r="G28" i="15"/>
  <c r="G29" i="15"/>
  <c r="G30" i="15"/>
  <c r="G31" i="15"/>
  <c r="G32" i="15"/>
  <c r="G33" i="15"/>
  <c r="G34" i="15"/>
  <c r="G35" i="15"/>
  <c r="G36" i="15"/>
  <c r="G37" i="15"/>
  <c r="G38" i="15"/>
  <c r="G39" i="15"/>
  <c r="G40" i="15"/>
  <c r="G41" i="15"/>
  <c r="G42" i="15"/>
  <c r="G43" i="15"/>
  <c r="G44" i="15"/>
  <c r="G45" i="15"/>
  <c r="G46" i="15"/>
  <c r="G47" i="15"/>
  <c r="G48" i="15"/>
  <c r="G49" i="15"/>
  <c r="G50" i="15"/>
  <c r="G51" i="15"/>
  <c r="G52" i="15"/>
  <c r="G53" i="15"/>
  <c r="G54" i="15"/>
  <c r="G55" i="15"/>
  <c r="G56" i="15"/>
  <c r="G57" i="15"/>
  <c r="G58" i="15"/>
  <c r="G59" i="15"/>
  <c r="G60" i="15"/>
  <c r="G61" i="15"/>
  <c r="F4" i="15"/>
  <c r="F5" i="15"/>
  <c r="F6" i="15"/>
  <c r="F7" i="15"/>
  <c r="F8" i="15"/>
  <c r="F9" i="15"/>
  <c r="F10" i="15"/>
  <c r="F11" i="15"/>
  <c r="F12" i="15"/>
  <c r="F13" i="15"/>
  <c r="F14" i="15"/>
  <c r="F15" i="15"/>
  <c r="F16" i="15"/>
  <c r="F17" i="15"/>
  <c r="F18" i="15"/>
  <c r="F19" i="15"/>
  <c r="F20" i="15"/>
  <c r="F21" i="15"/>
  <c r="F22" i="15"/>
  <c r="F23" i="15"/>
  <c r="F24" i="15"/>
  <c r="F25" i="15"/>
  <c r="F26" i="15"/>
  <c r="F27" i="15"/>
  <c r="F28" i="15"/>
  <c r="F29" i="15"/>
  <c r="F30" i="15"/>
  <c r="F31" i="15"/>
  <c r="F32" i="15"/>
  <c r="F33" i="15"/>
  <c r="F34" i="15"/>
  <c r="F35" i="15"/>
  <c r="F36" i="15"/>
  <c r="F37" i="15"/>
  <c r="F38" i="15"/>
  <c r="F39" i="15"/>
  <c r="F40" i="15"/>
  <c r="F41" i="15"/>
  <c r="F42" i="15"/>
  <c r="F43" i="15"/>
  <c r="F44" i="15"/>
  <c r="F45" i="15"/>
  <c r="F46" i="15"/>
  <c r="F47" i="15"/>
  <c r="F48" i="15"/>
  <c r="F49" i="15"/>
  <c r="F50" i="15"/>
  <c r="F51" i="15"/>
  <c r="F52" i="15"/>
  <c r="F53" i="15"/>
  <c r="F54" i="15"/>
  <c r="F55" i="15"/>
  <c r="F56" i="15"/>
  <c r="F57" i="15"/>
  <c r="F58" i="15"/>
  <c r="F59" i="15"/>
  <c r="F60" i="15"/>
  <c r="F61" i="15"/>
  <c r="E4" i="15"/>
  <c r="E5"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D4" i="15"/>
  <c r="D5" i="15"/>
  <c r="D6" i="15"/>
  <c r="D7" i="15"/>
  <c r="D8" i="15"/>
  <c r="D9" i="15"/>
  <c r="D10" i="15"/>
  <c r="D11" i="15"/>
  <c r="D12" i="15"/>
  <c r="D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6" i="15"/>
  <c r="D57" i="15"/>
  <c r="D58" i="15"/>
  <c r="D59" i="15"/>
  <c r="D60" i="15"/>
  <c r="D61" i="15"/>
  <c r="F42" i="6"/>
  <c r="I34" i="9"/>
  <c r="H34" i="9"/>
  <c r="G34" i="9"/>
  <c r="D35" i="9"/>
  <c r="C35" i="9"/>
  <c r="B35" i="9"/>
  <c r="A34" i="9"/>
  <c r="C42" i="14"/>
  <c r="C43" i="14"/>
  <c r="F42" i="14"/>
  <c r="F41" i="14"/>
  <c r="C41" i="14"/>
  <c r="D32" i="14"/>
  <c r="I9" i="6" l="1"/>
  <c r="I11" i="6" s="1"/>
  <c r="I14" i="6" s="1"/>
  <c r="I18" i="6" s="1"/>
  <c r="I26" i="6" s="1"/>
  <c r="H42" i="6" s="1"/>
  <c r="K9" i="6"/>
  <c r="K11" i="6" s="1"/>
  <c r="K14" i="6" s="1"/>
  <c r="K18" i="6" s="1"/>
  <c r="K26" i="6" s="1"/>
  <c r="K38" i="6"/>
  <c r="I38" i="6"/>
  <c r="E9" i="6"/>
  <c r="E11" i="6" s="1"/>
  <c r="L34" i="9"/>
  <c r="L207" i="2" l="1"/>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CA3" i="3" a="1"/>
  <c r="CA3" i="3" s="1"/>
  <c r="K443" i="1"/>
  <c r="K454" i="1"/>
  <c r="K460" i="1"/>
  <c r="K463" i="1"/>
  <c r="J443" i="1"/>
  <c r="J454" i="1"/>
  <c r="J460" i="1"/>
  <c r="J463" i="1"/>
  <c r="I443" i="1"/>
  <c r="I454" i="1"/>
  <c r="I460" i="1"/>
  <c r="I463" i="1"/>
  <c r="B20" i="13" l="1"/>
  <c r="B19" i="13"/>
  <c r="B18" i="13"/>
  <c r="C31" i="13"/>
  <c r="L2" i="13"/>
  <c r="C30" i="13"/>
  <c r="C29" i="13"/>
  <c r="C28" i="13"/>
  <c r="M4" i="13"/>
  <c r="K4" i="13"/>
  <c r="I4" i="13"/>
  <c r="G4" i="13"/>
  <c r="E4" i="13"/>
  <c r="I33" i="9" l="1"/>
  <c r="H33" i="9"/>
  <c r="G33" i="9"/>
  <c r="I32" i="9"/>
  <c r="H32" i="9"/>
  <c r="G32" i="9"/>
  <c r="I31" i="9"/>
  <c r="H31" i="9"/>
  <c r="G31" i="9"/>
  <c r="I30" i="9"/>
  <c r="H30" i="9"/>
  <c r="G30" i="9"/>
  <c r="I29" i="9"/>
  <c r="H29" i="9"/>
  <c r="G29" i="9"/>
  <c r="I28" i="9"/>
  <c r="H28" i="9"/>
  <c r="G28" i="9"/>
  <c r="I27" i="9"/>
  <c r="H27" i="9"/>
  <c r="G27" i="9"/>
  <c r="I26" i="9"/>
  <c r="H26" i="9"/>
  <c r="G26" i="9"/>
  <c r="I25" i="9"/>
  <c r="H25" i="9"/>
  <c r="G25" i="9"/>
  <c r="I24" i="9"/>
  <c r="H24" i="9"/>
  <c r="G24" i="9"/>
  <c r="I23" i="9"/>
  <c r="H23" i="9"/>
  <c r="G23" i="9"/>
  <c r="I22" i="9"/>
  <c r="H22" i="9"/>
  <c r="G22" i="9"/>
  <c r="I21" i="9"/>
  <c r="H21" i="9"/>
  <c r="G21" i="9"/>
  <c r="I20" i="9"/>
  <c r="H20" i="9"/>
  <c r="G20" i="9"/>
  <c r="I19" i="9"/>
  <c r="H19" i="9"/>
  <c r="G19" i="9"/>
  <c r="I18" i="9"/>
  <c r="H18" i="9"/>
  <c r="G18" i="9"/>
  <c r="I17" i="9"/>
  <c r="H17" i="9"/>
  <c r="G17" i="9"/>
  <c r="I16" i="9"/>
  <c r="H16" i="9"/>
  <c r="G16" i="9"/>
  <c r="I15" i="9"/>
  <c r="H15" i="9"/>
  <c r="G15" i="9"/>
  <c r="I14" i="9"/>
  <c r="H14" i="9"/>
  <c r="G14" i="9"/>
  <c r="I13" i="9"/>
  <c r="H13" i="9"/>
  <c r="G13" i="9"/>
  <c r="I12" i="9"/>
  <c r="H12" i="9"/>
  <c r="G12" i="9"/>
  <c r="I11" i="9"/>
  <c r="H11" i="9"/>
  <c r="G11" i="9"/>
  <c r="I10" i="9"/>
  <c r="H10" i="9"/>
  <c r="G10" i="9"/>
  <c r="I9" i="9"/>
  <c r="H9" i="9"/>
  <c r="G9" i="9"/>
  <c r="I8" i="9"/>
  <c r="H8" i="9"/>
  <c r="G8" i="9"/>
  <c r="I7" i="9"/>
  <c r="H7" i="9"/>
  <c r="G7" i="9"/>
  <c r="I6" i="9"/>
  <c r="H6" i="9"/>
  <c r="G6" i="9"/>
  <c r="I5" i="9"/>
  <c r="H5" i="9"/>
  <c r="G5" i="9"/>
  <c r="I4" i="9"/>
  <c r="H4" i="9"/>
  <c r="G4" i="9"/>
  <c r="L33" i="9" l="1"/>
  <c r="H542" i="1" a="1"/>
  <c r="H542" i="1" s="1"/>
  <c r="K542" i="1" s="1"/>
  <c r="H543" i="1" a="1"/>
  <c r="H543" i="1" s="1"/>
  <c r="K543" i="1" s="1"/>
  <c r="H544" i="1" a="1"/>
  <c r="H544" i="1" s="1"/>
  <c r="K544" i="1" s="1"/>
  <c r="H545" i="1" a="1"/>
  <c r="H545" i="1" s="1"/>
  <c r="K545" i="1" s="1"/>
  <c r="H546" i="1" a="1"/>
  <c r="H546" i="1" s="1"/>
  <c r="K546" i="1" s="1"/>
  <c r="H547" i="1" a="1"/>
  <c r="H547" i="1" s="1"/>
  <c r="K547" i="1" s="1"/>
  <c r="H548" i="1" a="1"/>
  <c r="H548" i="1" s="1"/>
  <c r="K548" i="1" s="1"/>
  <c r="H549" i="1" a="1"/>
  <c r="H549" i="1" s="1"/>
  <c r="K549" i="1" s="1"/>
  <c r="H550" i="1" a="1"/>
  <c r="H550" i="1" s="1"/>
  <c r="K550" i="1" s="1"/>
  <c r="H551" i="1" a="1"/>
  <c r="H551" i="1" s="1"/>
  <c r="K551" i="1" s="1"/>
  <c r="H552" i="1" a="1"/>
  <c r="H552" i="1" s="1"/>
  <c r="K552" i="1" s="1"/>
  <c r="H553" i="1" a="1"/>
  <c r="H553" i="1" s="1"/>
  <c r="K553" i="1" s="1"/>
  <c r="H554" i="1" a="1"/>
  <c r="H554" i="1" s="1"/>
  <c r="K554" i="1" s="1"/>
  <c r="H521" i="1" a="1"/>
  <c r="H521" i="1" s="1"/>
  <c r="K521" i="1" s="1"/>
  <c r="H522" i="1" a="1"/>
  <c r="H522" i="1" s="1"/>
  <c r="K522" i="1" s="1"/>
  <c r="H523" i="1" a="1"/>
  <c r="H523" i="1" s="1"/>
  <c r="K523" i="1" s="1"/>
  <c r="H524" i="1" a="1"/>
  <c r="H524" i="1" s="1"/>
  <c r="K524" i="1" s="1"/>
  <c r="H525" i="1" a="1"/>
  <c r="H525" i="1" s="1"/>
  <c r="K525" i="1" s="1"/>
  <c r="H526" i="1" a="1"/>
  <c r="H526" i="1" s="1"/>
  <c r="K526" i="1" s="1"/>
  <c r="H527" i="1" a="1"/>
  <c r="H527" i="1" s="1"/>
  <c r="K527" i="1" s="1"/>
  <c r="H528" i="1" a="1"/>
  <c r="H528" i="1" s="1"/>
  <c r="K528" i="1" s="1"/>
  <c r="H529" i="1" a="1"/>
  <c r="H529" i="1" s="1"/>
  <c r="K529" i="1" s="1"/>
  <c r="H530" i="1" a="1"/>
  <c r="H530" i="1" s="1"/>
  <c r="K530" i="1" s="1"/>
  <c r="H531" i="1" a="1"/>
  <c r="H531" i="1" s="1"/>
  <c r="K531" i="1" s="1"/>
  <c r="H532" i="1" a="1"/>
  <c r="H532" i="1" s="1"/>
  <c r="K532" i="1" s="1"/>
  <c r="H533" i="1" a="1"/>
  <c r="H533" i="1" s="1"/>
  <c r="K533" i="1" s="1"/>
  <c r="H534" i="1" a="1"/>
  <c r="H534" i="1" s="1"/>
  <c r="K534" i="1" s="1"/>
  <c r="H535" i="1" a="1"/>
  <c r="H535" i="1" s="1"/>
  <c r="K535" i="1" s="1"/>
  <c r="H536" i="1" a="1"/>
  <c r="H536" i="1" s="1"/>
  <c r="K536" i="1" s="1"/>
  <c r="H537" i="1" a="1"/>
  <c r="H537" i="1" s="1"/>
  <c r="K537" i="1" s="1"/>
  <c r="H538" i="1" a="1"/>
  <c r="H538" i="1" s="1"/>
  <c r="K538" i="1" s="1"/>
  <c r="H539" i="1" a="1"/>
  <c r="H539" i="1" s="1"/>
  <c r="K539" i="1" s="1"/>
  <c r="H540" i="1" a="1"/>
  <c r="H540" i="1" s="1"/>
  <c r="K540" i="1" s="1"/>
  <c r="H541" i="1" a="1"/>
  <c r="H541" i="1" s="1"/>
  <c r="K541" i="1" s="1"/>
  <c r="I534" i="1" l="1"/>
  <c r="J534" i="1"/>
  <c r="I540" i="1"/>
  <c r="J540" i="1"/>
  <c r="I532" i="1"/>
  <c r="J532" i="1"/>
  <c r="I524" i="1"/>
  <c r="J524" i="1"/>
  <c r="I547" i="1"/>
  <c r="J547" i="1"/>
  <c r="I549" i="1"/>
  <c r="J549" i="1"/>
  <c r="I539" i="1"/>
  <c r="J539" i="1"/>
  <c r="I531" i="1"/>
  <c r="J531" i="1"/>
  <c r="I523" i="1"/>
  <c r="J523" i="1"/>
  <c r="I554" i="1"/>
  <c r="J554" i="1"/>
  <c r="I546" i="1"/>
  <c r="J546" i="1"/>
  <c r="I533" i="1"/>
  <c r="J533" i="1"/>
  <c r="I548" i="1"/>
  <c r="J548" i="1"/>
  <c r="I538" i="1"/>
  <c r="J538" i="1"/>
  <c r="I530" i="1"/>
  <c r="J530" i="1"/>
  <c r="I522" i="1"/>
  <c r="J522" i="1"/>
  <c r="I553" i="1"/>
  <c r="J553" i="1"/>
  <c r="I545" i="1"/>
  <c r="J545" i="1"/>
  <c r="I537" i="1"/>
  <c r="J537" i="1"/>
  <c r="I529" i="1"/>
  <c r="J529" i="1"/>
  <c r="I521" i="1"/>
  <c r="J521" i="1"/>
  <c r="I552" i="1"/>
  <c r="J552" i="1"/>
  <c r="I544" i="1"/>
  <c r="J544" i="1"/>
  <c r="I526" i="1"/>
  <c r="J526" i="1"/>
  <c r="I541" i="1"/>
  <c r="J541" i="1"/>
  <c r="I536" i="1"/>
  <c r="J536" i="1"/>
  <c r="I528" i="1"/>
  <c r="J528" i="1"/>
  <c r="I551" i="1"/>
  <c r="J551" i="1"/>
  <c r="I543" i="1"/>
  <c r="J543" i="1"/>
  <c r="I525" i="1"/>
  <c r="J525" i="1"/>
  <c r="I535" i="1"/>
  <c r="J535" i="1"/>
  <c r="I527" i="1"/>
  <c r="J527" i="1"/>
  <c r="I550" i="1"/>
  <c r="J550" i="1"/>
  <c r="I542" i="1"/>
  <c r="J542" i="1"/>
  <c r="H499" i="1" a="1"/>
  <c r="H499" i="1" s="1"/>
  <c r="K499" i="1" s="1"/>
  <c r="H500" i="1" a="1"/>
  <c r="H500" i="1" s="1"/>
  <c r="K500" i="1" s="1"/>
  <c r="H501" i="1" a="1"/>
  <c r="H501" i="1" s="1"/>
  <c r="K501" i="1" s="1"/>
  <c r="H502" i="1" a="1"/>
  <c r="H502" i="1" s="1"/>
  <c r="K502" i="1" s="1"/>
  <c r="H503" i="1" a="1"/>
  <c r="H503" i="1" s="1"/>
  <c r="K503" i="1" s="1"/>
  <c r="H504" i="1" a="1"/>
  <c r="H504" i="1" s="1"/>
  <c r="K504" i="1" s="1"/>
  <c r="H505" i="1" a="1"/>
  <c r="H505" i="1" s="1"/>
  <c r="K505" i="1" s="1"/>
  <c r="H506" i="1" a="1"/>
  <c r="H506" i="1" s="1"/>
  <c r="K506" i="1" s="1"/>
  <c r="H507" i="1" a="1"/>
  <c r="H507" i="1" s="1"/>
  <c r="K507" i="1" s="1"/>
  <c r="H508" i="1" a="1"/>
  <c r="H508" i="1" s="1"/>
  <c r="K508" i="1" s="1"/>
  <c r="H509" i="1" a="1"/>
  <c r="H509" i="1" s="1"/>
  <c r="K509" i="1" s="1"/>
  <c r="H510" i="1" a="1"/>
  <c r="H510" i="1" s="1"/>
  <c r="K510" i="1" s="1"/>
  <c r="H511" i="1" a="1"/>
  <c r="H511" i="1" s="1"/>
  <c r="K511" i="1" s="1"/>
  <c r="H512" i="1" a="1"/>
  <c r="H512" i="1" s="1"/>
  <c r="K512" i="1" s="1"/>
  <c r="H513" i="1" a="1"/>
  <c r="H513" i="1" s="1"/>
  <c r="K513" i="1" s="1"/>
  <c r="H514" i="1" a="1"/>
  <c r="H514" i="1" s="1"/>
  <c r="K514" i="1" s="1"/>
  <c r="H515" i="1" a="1"/>
  <c r="H515" i="1" s="1"/>
  <c r="K515" i="1" s="1"/>
  <c r="H516" i="1" a="1"/>
  <c r="H516" i="1" s="1"/>
  <c r="K516" i="1" s="1"/>
  <c r="H517" i="1" a="1"/>
  <c r="H517" i="1" s="1"/>
  <c r="K517" i="1" s="1"/>
  <c r="H518" i="1" a="1"/>
  <c r="H518" i="1" s="1"/>
  <c r="K518" i="1" s="1"/>
  <c r="H519" i="1" a="1"/>
  <c r="H519" i="1" s="1"/>
  <c r="K519" i="1" s="1"/>
  <c r="H520" i="1" a="1"/>
  <c r="H520" i="1" s="1"/>
  <c r="K520" i="1" s="1"/>
  <c r="I520" i="1" l="1"/>
  <c r="J520" i="1"/>
  <c r="I512" i="1"/>
  <c r="J512" i="1"/>
  <c r="I504" i="1"/>
  <c r="J504" i="1"/>
  <c r="I516" i="1"/>
  <c r="J516" i="1"/>
  <c r="I508" i="1"/>
  <c r="J508" i="1"/>
  <c r="I500" i="1"/>
  <c r="J500" i="1"/>
  <c r="I511" i="1"/>
  <c r="J511" i="1"/>
  <c r="I507" i="1"/>
  <c r="J507" i="1"/>
  <c r="I503" i="1"/>
  <c r="J503" i="1"/>
  <c r="I499" i="1"/>
  <c r="J499" i="1"/>
  <c r="I510" i="1"/>
  <c r="J510" i="1"/>
  <c r="I502" i="1"/>
  <c r="J502" i="1"/>
  <c r="I519" i="1"/>
  <c r="J519" i="1"/>
  <c r="I514" i="1"/>
  <c r="J514" i="1"/>
  <c r="I506" i="1"/>
  <c r="J506" i="1"/>
  <c r="I518" i="1"/>
  <c r="J518" i="1"/>
  <c r="I513" i="1"/>
  <c r="J513" i="1"/>
  <c r="I505" i="1"/>
  <c r="J505" i="1"/>
  <c r="I515" i="1"/>
  <c r="J515" i="1"/>
  <c r="I517" i="1"/>
  <c r="J517" i="1"/>
  <c r="I509" i="1"/>
  <c r="J509" i="1"/>
  <c r="I501" i="1"/>
  <c r="J501" i="1"/>
  <c r="BS302" i="3"/>
  <c r="BR302" i="3"/>
  <c r="BS301" i="3"/>
  <c r="BR301" i="3"/>
  <c r="BS300" i="3"/>
  <c r="BR300" i="3"/>
  <c r="BS299" i="3"/>
  <c r="BR299" i="3"/>
  <c r="BS298" i="3"/>
  <c r="BR298" i="3"/>
  <c r="BS297" i="3"/>
  <c r="BR297" i="3"/>
  <c r="BS296" i="3"/>
  <c r="BR296" i="3"/>
  <c r="BS295" i="3"/>
  <c r="BR295" i="3"/>
  <c r="BS294" i="3"/>
  <c r="BR294" i="3"/>
  <c r="BS293" i="3"/>
  <c r="BR293" i="3"/>
  <c r="BS292" i="3"/>
  <c r="BR292" i="3"/>
  <c r="BS291" i="3"/>
  <c r="BR291" i="3"/>
  <c r="BS290" i="3"/>
  <c r="BR290" i="3"/>
  <c r="BS289" i="3"/>
  <c r="BR289" i="3"/>
  <c r="BS288" i="3"/>
  <c r="BR288" i="3"/>
  <c r="BS287" i="3"/>
  <c r="BR287" i="3"/>
  <c r="BS286" i="3"/>
  <c r="BR286" i="3"/>
  <c r="BS285" i="3"/>
  <c r="BR285" i="3"/>
  <c r="BS284" i="3"/>
  <c r="BR284" i="3"/>
  <c r="BS283" i="3"/>
  <c r="BR283" i="3"/>
  <c r="BS282" i="3"/>
  <c r="BR282" i="3"/>
  <c r="BS281" i="3"/>
  <c r="BR281" i="3"/>
  <c r="BS280" i="3"/>
  <c r="BR280" i="3"/>
  <c r="BS279" i="3"/>
  <c r="BR279" i="3"/>
  <c r="BS278" i="3"/>
  <c r="BR278" i="3"/>
  <c r="BS277" i="3"/>
  <c r="BR277" i="3"/>
  <c r="BS276" i="3"/>
  <c r="BR276" i="3"/>
  <c r="BS275" i="3"/>
  <c r="BR275" i="3"/>
  <c r="BS274" i="3"/>
  <c r="BR274" i="3"/>
  <c r="BS273" i="3"/>
  <c r="BR273" i="3"/>
  <c r="BS272" i="3"/>
  <c r="BR272" i="3"/>
  <c r="BS271" i="3"/>
  <c r="BR271" i="3"/>
  <c r="BS270" i="3"/>
  <c r="BR270" i="3"/>
  <c r="BS269" i="3"/>
  <c r="BR269" i="3"/>
  <c r="BS268" i="3"/>
  <c r="BR268" i="3"/>
  <c r="BS267" i="3"/>
  <c r="BR267" i="3"/>
  <c r="BS266" i="3"/>
  <c r="BR266" i="3"/>
  <c r="BS265" i="3"/>
  <c r="BR265" i="3"/>
  <c r="BS264" i="3"/>
  <c r="BR264" i="3"/>
  <c r="BS263" i="3"/>
  <c r="BR263" i="3"/>
  <c r="BS262" i="3"/>
  <c r="BR262" i="3"/>
  <c r="BS261" i="3"/>
  <c r="BR261" i="3"/>
  <c r="BS260" i="3"/>
  <c r="BR260" i="3"/>
  <c r="BS259" i="3"/>
  <c r="BR259" i="3"/>
  <c r="BS258" i="3"/>
  <c r="BR258" i="3"/>
  <c r="BS257" i="3"/>
  <c r="BR257" i="3"/>
  <c r="BS256" i="3"/>
  <c r="BR256" i="3"/>
  <c r="BS255" i="3"/>
  <c r="BR255" i="3"/>
  <c r="BS254" i="3"/>
  <c r="BR254" i="3"/>
  <c r="BS253" i="3"/>
  <c r="BR253" i="3"/>
  <c r="BS252" i="3"/>
  <c r="BR252" i="3"/>
  <c r="BS251" i="3"/>
  <c r="BR251" i="3"/>
  <c r="BS250" i="3"/>
  <c r="BR250" i="3"/>
  <c r="BS249" i="3"/>
  <c r="BR249" i="3"/>
  <c r="BS248" i="3"/>
  <c r="BR248" i="3"/>
  <c r="BS247" i="3"/>
  <c r="BR247" i="3"/>
  <c r="BS246" i="3"/>
  <c r="BR246" i="3"/>
  <c r="BS245" i="3"/>
  <c r="BR245" i="3"/>
  <c r="BS244" i="3"/>
  <c r="BR244" i="3"/>
  <c r="BS243" i="3"/>
  <c r="BR243" i="3"/>
  <c r="BS242" i="3"/>
  <c r="BR242" i="3"/>
  <c r="BS241" i="3"/>
  <c r="BR241" i="3"/>
  <c r="BS240" i="3"/>
  <c r="BR240" i="3"/>
  <c r="BS239" i="3"/>
  <c r="BR239" i="3"/>
  <c r="BS238" i="3"/>
  <c r="BR238" i="3"/>
  <c r="BS237" i="3"/>
  <c r="BR237" i="3"/>
  <c r="BS236" i="3"/>
  <c r="BR236" i="3"/>
  <c r="BS235" i="3"/>
  <c r="BR235" i="3"/>
  <c r="BS234" i="3"/>
  <c r="BR234" i="3"/>
  <c r="BS233" i="3"/>
  <c r="BR233" i="3"/>
  <c r="BS232" i="3"/>
  <c r="BR232" i="3"/>
  <c r="BS231" i="3"/>
  <c r="BR231" i="3"/>
  <c r="BS230" i="3"/>
  <c r="BR230" i="3"/>
  <c r="BS229" i="3"/>
  <c r="BR229" i="3"/>
  <c r="BS228" i="3"/>
  <c r="BR228" i="3"/>
  <c r="BS227" i="3"/>
  <c r="BR227" i="3"/>
  <c r="BS226" i="3"/>
  <c r="BR226" i="3"/>
  <c r="BS225" i="3"/>
  <c r="BR225" i="3"/>
  <c r="BS224" i="3"/>
  <c r="BR224" i="3"/>
  <c r="BS223" i="3"/>
  <c r="BR223" i="3"/>
  <c r="BS222" i="3"/>
  <c r="BR222" i="3"/>
  <c r="BS221" i="3"/>
  <c r="BR221" i="3"/>
  <c r="BS220" i="3"/>
  <c r="BR220" i="3"/>
  <c r="BS219" i="3"/>
  <c r="BR219" i="3"/>
  <c r="BS218" i="3"/>
  <c r="BR218" i="3"/>
  <c r="BS217" i="3"/>
  <c r="BR217" i="3"/>
  <c r="BS216" i="3"/>
  <c r="BR216" i="3"/>
  <c r="BS215" i="3"/>
  <c r="BR215" i="3"/>
  <c r="BS214" i="3"/>
  <c r="BR214" i="3"/>
  <c r="BS213" i="3"/>
  <c r="BR213" i="3"/>
  <c r="BS212" i="3"/>
  <c r="BS211" i="3"/>
  <c r="BS210" i="3"/>
  <c r="BS209" i="3"/>
  <c r="BS208" i="3"/>
  <c r="BS207" i="3"/>
  <c r="BS206" i="3"/>
  <c r="BS205" i="3"/>
  <c r="BS204" i="3"/>
  <c r="BS203" i="3"/>
  <c r="BS202" i="3"/>
  <c r="BS201" i="3"/>
  <c r="BS200" i="3"/>
  <c r="BS199" i="3"/>
  <c r="BS198" i="3"/>
  <c r="BS197" i="3"/>
  <c r="BS196" i="3"/>
  <c r="BS195" i="3"/>
  <c r="BS194" i="3"/>
  <c r="BS193" i="3"/>
  <c r="BS192" i="3"/>
  <c r="BS191" i="3"/>
  <c r="BS190" i="3"/>
  <c r="BS189" i="3"/>
  <c r="BS188" i="3"/>
  <c r="BS187" i="3"/>
  <c r="BS186" i="3"/>
  <c r="BS185" i="3"/>
  <c r="BS184" i="3"/>
  <c r="BS183" i="3"/>
  <c r="BS182" i="3"/>
  <c r="BS181" i="3"/>
  <c r="BS180" i="3"/>
  <c r="BS179" i="3"/>
  <c r="BS178" i="3"/>
  <c r="BS177" i="3"/>
  <c r="BS176" i="3"/>
  <c r="BS175" i="3"/>
  <c r="BS174" i="3"/>
  <c r="BS173" i="3"/>
  <c r="BS172" i="3"/>
  <c r="BS171" i="3"/>
  <c r="BS170" i="3"/>
  <c r="BS169" i="3"/>
  <c r="BS168" i="3"/>
  <c r="BS167" i="3"/>
  <c r="BS166" i="3"/>
  <c r="BS165" i="3"/>
  <c r="BS164" i="3"/>
  <c r="BS163" i="3"/>
  <c r="BS162" i="3"/>
  <c r="BS161" i="3"/>
  <c r="BS160" i="3"/>
  <c r="BS159" i="3"/>
  <c r="BS158" i="3"/>
  <c r="BS157" i="3"/>
  <c r="BS156" i="3"/>
  <c r="BS155" i="3"/>
  <c r="BS154" i="3"/>
  <c r="BS153" i="3"/>
  <c r="BS152" i="3"/>
  <c r="BS151" i="3"/>
  <c r="BS150" i="3"/>
  <c r="BS149" i="3"/>
  <c r="BS148" i="3"/>
  <c r="BS147" i="3"/>
  <c r="BS146" i="3"/>
  <c r="BS145" i="3"/>
  <c r="BS144" i="3"/>
  <c r="BS143" i="3"/>
  <c r="BS142" i="3"/>
  <c r="BS141" i="3"/>
  <c r="BS140" i="3"/>
  <c r="BS139" i="3"/>
  <c r="BS138" i="3"/>
  <c r="BS137" i="3"/>
  <c r="BS136" i="3"/>
  <c r="BS135" i="3"/>
  <c r="BS134" i="3"/>
  <c r="BS133" i="3"/>
  <c r="BS132" i="3"/>
  <c r="BS131" i="3"/>
  <c r="BS130" i="3"/>
  <c r="BS129" i="3"/>
  <c r="BS128" i="3"/>
  <c r="BS127" i="3"/>
  <c r="BS126" i="3"/>
  <c r="BS125" i="3"/>
  <c r="BS124" i="3"/>
  <c r="BS123" i="3"/>
  <c r="BS122" i="3"/>
  <c r="BS121" i="3"/>
  <c r="BS120" i="3"/>
  <c r="BS119" i="3"/>
  <c r="BS118" i="3"/>
  <c r="BS117" i="3"/>
  <c r="BS116" i="3"/>
  <c r="BS115" i="3"/>
  <c r="BS114" i="3"/>
  <c r="BS113" i="3"/>
  <c r="BS112" i="3"/>
  <c r="BS111" i="3"/>
  <c r="BS110" i="3"/>
  <c r="BS109" i="3"/>
  <c r="BS108" i="3"/>
  <c r="BS107" i="3"/>
  <c r="BS106" i="3"/>
  <c r="BS105" i="3"/>
  <c r="BS104" i="3"/>
  <c r="BS103" i="3"/>
  <c r="BS102" i="3"/>
  <c r="BS101" i="3"/>
  <c r="BS100" i="3"/>
  <c r="BS99" i="3"/>
  <c r="BS98" i="3"/>
  <c r="BS97" i="3"/>
  <c r="BS96" i="3"/>
  <c r="BS95" i="3"/>
  <c r="BS94" i="3"/>
  <c r="BS93" i="3"/>
  <c r="BS92" i="3"/>
  <c r="BS91" i="3"/>
  <c r="BS90" i="3"/>
  <c r="BS89" i="3"/>
  <c r="BS88" i="3"/>
  <c r="BS87" i="3"/>
  <c r="BS86" i="3"/>
  <c r="BS85" i="3"/>
  <c r="BS84" i="3"/>
  <c r="BS83" i="3"/>
  <c r="BS82" i="3"/>
  <c r="BS81" i="3"/>
  <c r="BS80" i="3"/>
  <c r="BS79" i="3"/>
  <c r="BS78" i="3"/>
  <c r="BS77" i="3"/>
  <c r="BS76" i="3"/>
  <c r="BS75" i="3"/>
  <c r="BS74" i="3"/>
  <c r="BS73" i="3"/>
  <c r="BS72" i="3"/>
  <c r="BS71" i="3"/>
  <c r="BS70" i="3"/>
  <c r="BS69" i="3"/>
  <c r="BS68" i="3"/>
  <c r="BS67" i="3"/>
  <c r="BS66" i="3"/>
  <c r="BS65" i="3"/>
  <c r="BS64" i="3"/>
  <c r="BS63" i="3"/>
  <c r="BS62" i="3"/>
  <c r="BS61" i="3"/>
  <c r="BS60" i="3"/>
  <c r="BS59" i="3"/>
  <c r="BS58" i="3"/>
  <c r="BS57" i="3"/>
  <c r="BS56" i="3"/>
  <c r="BS55" i="3"/>
  <c r="BS54" i="3"/>
  <c r="BS53" i="3"/>
  <c r="BS52" i="3"/>
  <c r="BS51" i="3"/>
  <c r="BS50" i="3"/>
  <c r="BS49" i="3"/>
  <c r="BS48" i="3"/>
  <c r="BS47" i="3"/>
  <c r="BS46" i="3"/>
  <c r="BS45" i="3"/>
  <c r="BS44" i="3"/>
  <c r="BS43" i="3"/>
  <c r="BS42" i="3"/>
  <c r="BS41" i="3"/>
  <c r="BS40" i="3"/>
  <c r="BS39" i="3"/>
  <c r="BS38" i="3"/>
  <c r="BS37" i="3"/>
  <c r="BS36" i="3"/>
  <c r="BS35" i="3"/>
  <c r="BS34" i="3"/>
  <c r="BS33" i="3"/>
  <c r="BS32" i="3"/>
  <c r="BS31" i="3"/>
  <c r="BS30" i="3"/>
  <c r="BS29" i="3"/>
  <c r="BS28" i="3"/>
  <c r="BS27" i="3"/>
  <c r="BS26" i="3"/>
  <c r="BS25" i="3"/>
  <c r="BS24" i="3"/>
  <c r="BS23" i="3"/>
  <c r="BS22" i="3"/>
  <c r="BS21" i="3"/>
  <c r="BS20" i="3"/>
  <c r="BS19" i="3"/>
  <c r="BS18" i="3"/>
  <c r="BS17" i="3"/>
  <c r="BS16" i="3"/>
  <c r="BS15" i="3"/>
  <c r="BS14" i="3"/>
  <c r="BS13" i="3"/>
  <c r="BS12" i="3"/>
  <c r="BS11" i="3"/>
  <c r="BS10" i="3"/>
  <c r="BS9" i="3"/>
  <c r="BS8" i="3"/>
  <c r="BS7" i="3"/>
  <c r="BS6" i="3"/>
  <c r="BS5" i="3"/>
  <c r="BS4" i="3"/>
  <c r="BC302" i="3"/>
  <c r="BB302" i="3"/>
  <c r="BC301" i="3"/>
  <c r="BB301" i="3"/>
  <c r="BC300" i="3"/>
  <c r="BB300" i="3"/>
  <c r="BC299" i="3"/>
  <c r="BB299" i="3"/>
  <c r="BC298" i="3"/>
  <c r="BB298" i="3"/>
  <c r="BC297" i="3"/>
  <c r="BB297" i="3"/>
  <c r="BC296" i="3"/>
  <c r="BB296" i="3"/>
  <c r="BC295" i="3"/>
  <c r="BB295" i="3"/>
  <c r="BC294" i="3"/>
  <c r="BB294" i="3"/>
  <c r="BC293" i="3"/>
  <c r="BB293" i="3"/>
  <c r="BC292" i="3"/>
  <c r="BB292" i="3"/>
  <c r="BC291" i="3"/>
  <c r="BB291" i="3"/>
  <c r="BC290" i="3"/>
  <c r="BB290" i="3"/>
  <c r="BC289" i="3"/>
  <c r="BB289" i="3"/>
  <c r="BC288" i="3"/>
  <c r="BB288" i="3"/>
  <c r="BC287" i="3"/>
  <c r="BB287" i="3"/>
  <c r="BC286" i="3"/>
  <c r="BB286" i="3"/>
  <c r="BC285" i="3"/>
  <c r="BB285" i="3"/>
  <c r="BC284" i="3"/>
  <c r="BB284" i="3"/>
  <c r="BC283" i="3"/>
  <c r="BB283" i="3"/>
  <c r="BC282" i="3"/>
  <c r="BB282" i="3"/>
  <c r="BC281" i="3"/>
  <c r="BB281" i="3"/>
  <c r="BC280" i="3"/>
  <c r="BB280" i="3"/>
  <c r="BC279" i="3"/>
  <c r="BB279" i="3"/>
  <c r="BC278" i="3"/>
  <c r="BB278" i="3"/>
  <c r="BC277" i="3"/>
  <c r="BB277" i="3"/>
  <c r="BC276" i="3"/>
  <c r="BB276" i="3"/>
  <c r="BC275" i="3"/>
  <c r="BB275" i="3"/>
  <c r="BC274" i="3"/>
  <c r="BB274" i="3"/>
  <c r="BC273" i="3"/>
  <c r="BB273" i="3"/>
  <c r="BC272" i="3"/>
  <c r="BB272" i="3"/>
  <c r="BC271" i="3"/>
  <c r="BB271" i="3"/>
  <c r="BC270" i="3"/>
  <c r="BB270" i="3"/>
  <c r="BC269" i="3"/>
  <c r="BB269" i="3"/>
  <c r="BC268" i="3"/>
  <c r="BB268" i="3"/>
  <c r="BC267" i="3"/>
  <c r="BB267" i="3"/>
  <c r="BC266" i="3"/>
  <c r="BB266" i="3"/>
  <c r="BC265" i="3"/>
  <c r="BB265" i="3"/>
  <c r="BC264" i="3"/>
  <c r="BB264" i="3"/>
  <c r="BC263" i="3"/>
  <c r="BB263" i="3"/>
  <c r="BC262" i="3"/>
  <c r="BB262" i="3"/>
  <c r="BC261" i="3"/>
  <c r="BB261" i="3"/>
  <c r="BC260" i="3"/>
  <c r="BB260" i="3"/>
  <c r="BC259" i="3"/>
  <c r="BB259" i="3"/>
  <c r="BC258" i="3"/>
  <c r="BB258" i="3"/>
  <c r="BC257" i="3"/>
  <c r="BB257" i="3"/>
  <c r="BC256" i="3"/>
  <c r="BB256" i="3"/>
  <c r="BC255" i="3"/>
  <c r="BB255" i="3"/>
  <c r="BC254" i="3"/>
  <c r="BB254" i="3"/>
  <c r="BC253" i="3"/>
  <c r="BB253" i="3"/>
  <c r="BC252" i="3"/>
  <c r="BB252" i="3"/>
  <c r="BC251" i="3"/>
  <c r="BB251" i="3"/>
  <c r="BC250" i="3"/>
  <c r="BB250" i="3"/>
  <c r="BC249" i="3"/>
  <c r="BB249" i="3"/>
  <c r="BC248" i="3"/>
  <c r="BB248" i="3"/>
  <c r="BC247" i="3"/>
  <c r="BB247" i="3"/>
  <c r="BC246" i="3"/>
  <c r="BB246" i="3"/>
  <c r="BC245" i="3"/>
  <c r="BB245" i="3"/>
  <c r="BC244" i="3"/>
  <c r="BB244" i="3"/>
  <c r="BC243" i="3"/>
  <c r="BB243" i="3"/>
  <c r="BC242" i="3"/>
  <c r="BB242" i="3"/>
  <c r="BC241" i="3"/>
  <c r="BB241" i="3"/>
  <c r="BC240" i="3"/>
  <c r="BB240" i="3"/>
  <c r="BC239" i="3"/>
  <c r="BB239" i="3"/>
  <c r="BC238" i="3"/>
  <c r="BB238" i="3"/>
  <c r="BC237" i="3"/>
  <c r="BB237" i="3"/>
  <c r="BC236" i="3"/>
  <c r="BB236" i="3"/>
  <c r="BC235" i="3"/>
  <c r="BB235" i="3"/>
  <c r="BC234" i="3"/>
  <c r="BB234" i="3"/>
  <c r="BC233" i="3"/>
  <c r="BB233" i="3"/>
  <c r="BC232" i="3"/>
  <c r="BB232" i="3"/>
  <c r="BC231" i="3"/>
  <c r="BB231" i="3"/>
  <c r="BC230" i="3"/>
  <c r="BB230" i="3"/>
  <c r="BC229" i="3"/>
  <c r="BB229" i="3"/>
  <c r="BC228" i="3"/>
  <c r="BB228" i="3"/>
  <c r="BC227" i="3"/>
  <c r="BB227" i="3"/>
  <c r="BC226" i="3"/>
  <c r="BB226" i="3"/>
  <c r="BC225" i="3"/>
  <c r="BB225" i="3"/>
  <c r="BC224" i="3"/>
  <c r="BB224" i="3"/>
  <c r="BC223" i="3"/>
  <c r="BB223" i="3"/>
  <c r="BC222" i="3"/>
  <c r="BB222" i="3"/>
  <c r="BC221" i="3"/>
  <c r="BB221" i="3"/>
  <c r="BC220" i="3"/>
  <c r="BB220" i="3"/>
  <c r="BC219" i="3"/>
  <c r="BB219" i="3"/>
  <c r="BC218" i="3"/>
  <c r="BB218" i="3"/>
  <c r="BC217" i="3"/>
  <c r="BB217" i="3"/>
  <c r="BC216" i="3"/>
  <c r="BB216" i="3"/>
  <c r="BC215" i="3"/>
  <c r="BB215" i="3"/>
  <c r="BC214" i="3"/>
  <c r="BB214" i="3"/>
  <c r="BC213" i="3"/>
  <c r="BB213" i="3"/>
  <c r="BC212" i="3"/>
  <c r="BC211" i="3"/>
  <c r="BC210" i="3"/>
  <c r="BC209" i="3"/>
  <c r="BC208" i="3"/>
  <c r="BC207" i="3"/>
  <c r="BC206" i="3"/>
  <c r="BC205" i="3"/>
  <c r="BC204" i="3"/>
  <c r="BC203" i="3"/>
  <c r="BC202" i="3"/>
  <c r="BC201" i="3"/>
  <c r="BC200" i="3"/>
  <c r="BC199" i="3"/>
  <c r="BC198" i="3"/>
  <c r="BC197" i="3"/>
  <c r="BC196" i="3"/>
  <c r="BC195" i="3"/>
  <c r="BC194" i="3"/>
  <c r="BC193" i="3"/>
  <c r="BC192" i="3"/>
  <c r="BC191" i="3"/>
  <c r="BC190" i="3"/>
  <c r="BC189" i="3"/>
  <c r="BC188" i="3"/>
  <c r="BC187" i="3"/>
  <c r="BC186" i="3"/>
  <c r="BC185" i="3"/>
  <c r="BC184" i="3"/>
  <c r="BC183" i="3"/>
  <c r="BC182" i="3"/>
  <c r="BC181" i="3"/>
  <c r="BC180" i="3"/>
  <c r="BC179" i="3"/>
  <c r="BC178" i="3"/>
  <c r="BC177" i="3"/>
  <c r="BC176" i="3"/>
  <c r="BC175" i="3"/>
  <c r="BC174" i="3"/>
  <c r="BC173" i="3"/>
  <c r="BC172" i="3"/>
  <c r="BC171" i="3"/>
  <c r="BC170" i="3"/>
  <c r="BC169" i="3"/>
  <c r="BC168" i="3"/>
  <c r="BC167" i="3"/>
  <c r="BC166" i="3"/>
  <c r="BC165" i="3"/>
  <c r="BC164" i="3"/>
  <c r="BC163" i="3"/>
  <c r="BC162" i="3"/>
  <c r="BC161" i="3"/>
  <c r="BC160" i="3"/>
  <c r="BC159" i="3"/>
  <c r="BC158" i="3"/>
  <c r="BC157" i="3"/>
  <c r="BC156" i="3"/>
  <c r="BC155" i="3"/>
  <c r="BC154" i="3"/>
  <c r="BC153" i="3"/>
  <c r="BC152" i="3"/>
  <c r="BC151" i="3"/>
  <c r="BC150" i="3"/>
  <c r="BC149" i="3"/>
  <c r="BC148" i="3"/>
  <c r="BC147" i="3"/>
  <c r="BC146" i="3"/>
  <c r="BC145" i="3"/>
  <c r="BC144" i="3"/>
  <c r="BC143" i="3"/>
  <c r="BC142" i="3"/>
  <c r="BC141" i="3"/>
  <c r="BC140" i="3"/>
  <c r="BC139" i="3"/>
  <c r="BC138" i="3"/>
  <c r="BC137" i="3"/>
  <c r="BC136" i="3"/>
  <c r="BC135" i="3"/>
  <c r="BC134" i="3"/>
  <c r="BC133" i="3"/>
  <c r="BC132" i="3"/>
  <c r="BC131" i="3"/>
  <c r="BC130" i="3"/>
  <c r="BC129" i="3"/>
  <c r="BC128" i="3"/>
  <c r="BC127" i="3"/>
  <c r="BC126" i="3"/>
  <c r="BC125" i="3"/>
  <c r="BC124" i="3"/>
  <c r="BC123" i="3"/>
  <c r="BC122" i="3"/>
  <c r="BC121" i="3"/>
  <c r="BC120" i="3"/>
  <c r="BC119" i="3"/>
  <c r="BC118" i="3"/>
  <c r="BC117" i="3"/>
  <c r="BC116" i="3"/>
  <c r="BC115" i="3"/>
  <c r="BC114" i="3"/>
  <c r="BC113" i="3"/>
  <c r="BC112" i="3"/>
  <c r="BC111" i="3"/>
  <c r="BC110" i="3"/>
  <c r="BC109" i="3"/>
  <c r="BC108" i="3"/>
  <c r="BC107" i="3"/>
  <c r="BC106" i="3"/>
  <c r="BC105" i="3"/>
  <c r="BC104" i="3"/>
  <c r="BC103" i="3"/>
  <c r="BC102" i="3"/>
  <c r="BC101" i="3"/>
  <c r="BC100" i="3"/>
  <c r="BC99" i="3"/>
  <c r="BC98" i="3"/>
  <c r="BC97" i="3"/>
  <c r="BC96" i="3"/>
  <c r="BC95" i="3"/>
  <c r="BC94" i="3"/>
  <c r="BC93" i="3"/>
  <c r="BC92" i="3"/>
  <c r="BC91" i="3"/>
  <c r="BC90" i="3"/>
  <c r="BC89" i="3"/>
  <c r="BC88" i="3"/>
  <c r="BC87" i="3"/>
  <c r="BC86" i="3"/>
  <c r="BC85" i="3"/>
  <c r="BC84" i="3"/>
  <c r="BC83" i="3"/>
  <c r="BC82" i="3"/>
  <c r="BC81" i="3"/>
  <c r="BC80" i="3"/>
  <c r="BC79" i="3"/>
  <c r="BC78" i="3"/>
  <c r="BC77" i="3"/>
  <c r="BC76" i="3"/>
  <c r="BC75" i="3"/>
  <c r="BC74" i="3"/>
  <c r="BC73" i="3"/>
  <c r="BC72" i="3"/>
  <c r="BC71" i="3"/>
  <c r="BC70" i="3"/>
  <c r="BC69" i="3"/>
  <c r="BC68" i="3"/>
  <c r="BC67" i="3"/>
  <c r="BC66" i="3"/>
  <c r="BC65" i="3"/>
  <c r="BC64" i="3"/>
  <c r="BC63" i="3"/>
  <c r="BC62" i="3"/>
  <c r="BC61" i="3"/>
  <c r="BC60" i="3"/>
  <c r="BC59" i="3"/>
  <c r="BC58" i="3"/>
  <c r="BC57" i="3"/>
  <c r="BC56" i="3"/>
  <c r="BC55" i="3"/>
  <c r="BC54" i="3"/>
  <c r="BC53" i="3"/>
  <c r="BC52" i="3"/>
  <c r="BC51" i="3"/>
  <c r="BC50" i="3"/>
  <c r="BC49" i="3"/>
  <c r="BC48" i="3"/>
  <c r="BC47" i="3"/>
  <c r="BC46" i="3"/>
  <c r="BC45" i="3"/>
  <c r="BC44" i="3"/>
  <c r="BC43" i="3"/>
  <c r="BC42" i="3"/>
  <c r="BC41" i="3"/>
  <c r="BC40" i="3"/>
  <c r="BC39" i="3"/>
  <c r="BC38" i="3"/>
  <c r="BC37" i="3"/>
  <c r="BC36" i="3"/>
  <c r="BC35" i="3"/>
  <c r="BC34" i="3"/>
  <c r="BC33" i="3"/>
  <c r="BC32" i="3"/>
  <c r="BC31" i="3"/>
  <c r="BC30" i="3"/>
  <c r="BC29" i="3"/>
  <c r="BC28" i="3"/>
  <c r="BC27" i="3"/>
  <c r="BC26" i="3"/>
  <c r="BC25" i="3"/>
  <c r="BC24" i="3"/>
  <c r="BC23" i="3"/>
  <c r="BC22" i="3"/>
  <c r="BC21" i="3"/>
  <c r="BC20" i="3"/>
  <c r="BC19" i="3"/>
  <c r="BC18" i="3"/>
  <c r="BC17" i="3"/>
  <c r="BC16" i="3"/>
  <c r="BC15" i="3"/>
  <c r="BC14" i="3"/>
  <c r="BC13" i="3"/>
  <c r="BC12" i="3"/>
  <c r="BC11" i="3"/>
  <c r="BC10" i="3"/>
  <c r="BC9" i="3"/>
  <c r="BC8" i="3"/>
  <c r="BC7" i="3"/>
  <c r="BC6" i="3"/>
  <c r="BC5" i="3"/>
  <c r="BC4" i="3"/>
  <c r="BC3" i="2" a="1"/>
  <c r="CA291" i="3" a="1"/>
  <c r="CA291" i="3" s="1"/>
  <c r="CA285" i="3" a="1"/>
  <c r="CA285" i="3" s="1"/>
  <c r="CA279" i="3" a="1"/>
  <c r="CA279" i="3" s="1"/>
  <c r="CA273" i="3" a="1"/>
  <c r="CA273" i="3" s="1"/>
  <c r="CA267" i="3" a="1"/>
  <c r="CA267" i="3" s="1"/>
  <c r="CA261" i="3" a="1"/>
  <c r="CA261" i="3" s="1"/>
  <c r="CA255" i="3" a="1"/>
  <c r="CA255" i="3" s="1"/>
  <c r="CA249" i="3" a="1"/>
  <c r="CA249" i="3" s="1"/>
  <c r="CA243" i="3" a="1"/>
  <c r="CA243" i="3" s="1"/>
  <c r="CA237" i="3" a="1"/>
  <c r="CA237" i="3" s="1"/>
  <c r="CA231" i="3" a="1"/>
  <c r="CA231" i="3" s="1"/>
  <c r="CA225" i="3" a="1"/>
  <c r="CA225" i="3" s="1"/>
  <c r="CA219" i="3" a="1"/>
  <c r="CA219" i="3" s="1"/>
  <c r="CA213" i="3" a="1"/>
  <c r="CA213" i="3" s="1"/>
  <c r="CA207" i="3" a="1"/>
  <c r="CA207" i="3" s="1"/>
  <c r="CA201" i="3" a="1"/>
  <c r="CA201" i="3" s="1"/>
  <c r="CA195" i="3" a="1"/>
  <c r="CA195" i="3" s="1"/>
  <c r="CA189" i="3" a="1"/>
  <c r="CA189" i="3" s="1"/>
  <c r="CA183" i="3" a="1"/>
  <c r="CA183" i="3" s="1"/>
  <c r="CA177" i="3" a="1"/>
  <c r="CA177" i="3" s="1"/>
  <c r="CA171" i="3" a="1"/>
  <c r="CA171" i="3" s="1"/>
  <c r="CA165" i="3" a="1"/>
  <c r="CA165" i="3" s="1"/>
  <c r="CA159" i="3" a="1"/>
  <c r="CA159" i="3" s="1"/>
  <c r="CA153" i="3" a="1"/>
  <c r="CA153" i="3" s="1"/>
  <c r="CA147" i="3" a="1"/>
  <c r="CA147" i="3" s="1"/>
  <c r="CA135" i="3" a="1"/>
  <c r="CA135" i="3" s="1"/>
  <c r="CA129" i="3" a="1"/>
  <c r="CA129" i="3" s="1"/>
  <c r="CA117" i="3" a="1"/>
  <c r="CA117" i="3" s="1"/>
  <c r="CA111" i="3" a="1"/>
  <c r="CA111" i="3" s="1"/>
  <c r="CA105" i="3" a="1"/>
  <c r="CA105" i="3" s="1"/>
  <c r="CA99" i="3" a="1"/>
  <c r="CA99" i="3" s="1"/>
  <c r="CA93" i="3" a="1"/>
  <c r="CA93" i="3" s="1"/>
  <c r="CA87" i="3" a="1"/>
  <c r="CA87" i="3" s="1"/>
  <c r="CA81" i="3" a="1"/>
  <c r="CA81" i="3" s="1"/>
  <c r="CA69" i="3" a="1"/>
  <c r="CA69" i="3" s="1"/>
  <c r="CA63" i="3" a="1"/>
  <c r="CA63" i="3" s="1"/>
  <c r="CA57" i="3" a="1"/>
  <c r="CA57" i="3" s="1"/>
  <c r="CA51" i="3" a="1"/>
  <c r="CA51" i="3" s="1"/>
  <c r="CA45" i="3" a="1"/>
  <c r="CA45" i="3" s="1"/>
  <c r="CA39" i="3" a="1"/>
  <c r="CA39" i="3" s="1"/>
  <c r="CA27" i="3" a="1"/>
  <c r="CA27" i="3" s="1"/>
  <c r="CA21" i="3" a="1"/>
  <c r="CA21" i="3" s="1"/>
  <c r="CA297" i="3" a="1"/>
  <c r="CA297" i="3" s="1"/>
  <c r="BB1" i="4" a="1"/>
  <c r="BB1" i="4" s="1"/>
  <c r="BD1" i="4" s="1" a="1"/>
  <c r="BD1" i="4" s="1"/>
  <c r="BB210" i="3" l="1"/>
  <c r="L10" i="2"/>
  <c r="L18" i="2"/>
  <c r="L26" i="2"/>
  <c r="L34" i="2"/>
  <c r="L42" i="2"/>
  <c r="L50" i="2"/>
  <c r="L58" i="2"/>
  <c r="L66" i="2"/>
  <c r="L74" i="2"/>
  <c r="L82" i="2"/>
  <c r="L90" i="2"/>
  <c r="L98" i="2"/>
  <c r="L106" i="2"/>
  <c r="L114" i="2"/>
  <c r="L122" i="2"/>
  <c r="L130" i="2"/>
  <c r="L138" i="2"/>
  <c r="L146" i="2"/>
  <c r="L154" i="2"/>
  <c r="L162" i="2"/>
  <c r="L170" i="2"/>
  <c r="L178" i="2"/>
  <c r="L186" i="2"/>
  <c r="L194" i="2"/>
  <c r="L202" i="2"/>
  <c r="L11" i="2"/>
  <c r="L19" i="2"/>
  <c r="L27" i="2"/>
  <c r="L35" i="2"/>
  <c r="L43" i="2"/>
  <c r="L51" i="2"/>
  <c r="L59" i="2"/>
  <c r="L67" i="2"/>
  <c r="L75" i="2"/>
  <c r="L83" i="2"/>
  <c r="L91" i="2"/>
  <c r="L99" i="2"/>
  <c r="L107" i="2"/>
  <c r="L115" i="2"/>
  <c r="L123" i="2"/>
  <c r="L131" i="2"/>
  <c r="L139" i="2"/>
  <c r="L147" i="2"/>
  <c r="L155" i="2"/>
  <c r="L163" i="2"/>
  <c r="L171" i="2"/>
  <c r="L179" i="2"/>
  <c r="L187" i="2"/>
  <c r="L195" i="2"/>
  <c r="L203" i="2"/>
  <c r="L4" i="2"/>
  <c r="L20" i="2"/>
  <c r="L36" i="2"/>
  <c r="L52" i="2"/>
  <c r="L68" i="2"/>
  <c r="L84" i="2"/>
  <c r="L100" i="2"/>
  <c r="L116" i="2"/>
  <c r="L132" i="2"/>
  <c r="L8" i="2"/>
  <c r="L56" i="2"/>
  <c r="L96" i="2"/>
  <c r="L144" i="2"/>
  <c r="L12" i="2"/>
  <c r="L28" i="2"/>
  <c r="L44" i="2"/>
  <c r="L60" i="2"/>
  <c r="L76" i="2"/>
  <c r="L92" i="2"/>
  <c r="L108" i="2"/>
  <c r="L124" i="2"/>
  <c r="L140" i="2"/>
  <c r="L148" i="2"/>
  <c r="L156" i="2"/>
  <c r="L164" i="2"/>
  <c r="L172" i="2"/>
  <c r="L180" i="2"/>
  <c r="L188" i="2"/>
  <c r="L196" i="2"/>
  <c r="L204" i="2"/>
  <c r="L24" i="2"/>
  <c r="L72" i="2"/>
  <c r="L128" i="2"/>
  <c r="L168" i="2"/>
  <c r="L5" i="2"/>
  <c r="L13" i="2"/>
  <c r="L21" i="2"/>
  <c r="L29" i="2"/>
  <c r="L37" i="2"/>
  <c r="L45" i="2"/>
  <c r="L53" i="2"/>
  <c r="L61" i="2"/>
  <c r="L69" i="2"/>
  <c r="L77" i="2"/>
  <c r="L85" i="2"/>
  <c r="L93" i="2"/>
  <c r="L101" i="2"/>
  <c r="L109" i="2"/>
  <c r="L117" i="2"/>
  <c r="L125" i="2"/>
  <c r="L133" i="2"/>
  <c r="L141" i="2"/>
  <c r="L149" i="2"/>
  <c r="L157" i="2"/>
  <c r="L165" i="2"/>
  <c r="L173" i="2"/>
  <c r="L181" i="2"/>
  <c r="L189" i="2"/>
  <c r="L197" i="2"/>
  <c r="L205" i="2"/>
  <c r="L48" i="2"/>
  <c r="L104" i="2"/>
  <c r="L160" i="2"/>
  <c r="L6" i="2"/>
  <c r="L14" i="2"/>
  <c r="L22" i="2"/>
  <c r="L30" i="2"/>
  <c r="L38" i="2"/>
  <c r="L46" i="2"/>
  <c r="L54" i="2"/>
  <c r="L62" i="2"/>
  <c r="L70" i="2"/>
  <c r="L78" i="2"/>
  <c r="L86" i="2"/>
  <c r="L94" i="2"/>
  <c r="L102" i="2"/>
  <c r="L110" i="2"/>
  <c r="L118" i="2"/>
  <c r="L126" i="2"/>
  <c r="L134" i="2"/>
  <c r="L142" i="2"/>
  <c r="L150" i="2"/>
  <c r="L158" i="2"/>
  <c r="L166" i="2"/>
  <c r="L174" i="2"/>
  <c r="L182" i="2"/>
  <c r="L190" i="2"/>
  <c r="L198" i="2"/>
  <c r="L206" i="2"/>
  <c r="L16" i="2"/>
  <c r="L40" i="2"/>
  <c r="L80" i="2"/>
  <c r="L112" i="2"/>
  <c r="L136" i="2"/>
  <c r="L184" i="2"/>
  <c r="L7" i="2"/>
  <c r="L15" i="2"/>
  <c r="L23" i="2"/>
  <c r="L31" i="2"/>
  <c r="L39" i="2"/>
  <c r="L47" i="2"/>
  <c r="L55" i="2"/>
  <c r="L63" i="2"/>
  <c r="L71" i="2"/>
  <c r="L79" i="2"/>
  <c r="L87" i="2"/>
  <c r="L95" i="2"/>
  <c r="L103" i="2"/>
  <c r="L111" i="2"/>
  <c r="L119" i="2"/>
  <c r="L127" i="2"/>
  <c r="L135" i="2"/>
  <c r="L143" i="2"/>
  <c r="L151" i="2"/>
  <c r="L159" i="2"/>
  <c r="L167" i="2"/>
  <c r="L175" i="2"/>
  <c r="L183" i="2"/>
  <c r="L191" i="2"/>
  <c r="L199" i="2"/>
  <c r="L32" i="2"/>
  <c r="L64" i="2"/>
  <c r="L88" i="2"/>
  <c r="L120" i="2"/>
  <c r="L152" i="2"/>
  <c r="L176" i="2"/>
  <c r="L9" i="2"/>
  <c r="L17" i="2"/>
  <c r="L25" i="2"/>
  <c r="L33" i="2"/>
  <c r="L41" i="2"/>
  <c r="L49" i="2"/>
  <c r="L57" i="2"/>
  <c r="L65" i="2"/>
  <c r="L73" i="2"/>
  <c r="L81" i="2"/>
  <c r="L89" i="2"/>
  <c r="L97" i="2"/>
  <c r="L105" i="2"/>
  <c r="L113" i="2"/>
  <c r="L121" i="2"/>
  <c r="L129" i="2"/>
  <c r="L137" i="2"/>
  <c r="L145" i="2"/>
  <c r="L153" i="2"/>
  <c r="L161" i="2"/>
  <c r="L169" i="2"/>
  <c r="L177" i="2"/>
  <c r="L185" i="2"/>
  <c r="L193" i="2"/>
  <c r="L201" i="2"/>
  <c r="L200" i="2"/>
  <c r="L192" i="2"/>
  <c r="M240" i="3"/>
  <c r="M240" i="7"/>
  <c r="M252" i="7"/>
  <c r="M252" i="3"/>
  <c r="M272" i="3"/>
  <c r="M272" i="7"/>
  <c r="M276" i="7"/>
  <c r="M276" i="3"/>
  <c r="M280" i="3"/>
  <c r="M280" i="7"/>
  <c r="M284" i="7"/>
  <c r="M284" i="3"/>
  <c r="M288" i="3"/>
  <c r="M288" i="7"/>
  <c r="M292" i="7"/>
  <c r="M292" i="3"/>
  <c r="M296" i="3"/>
  <c r="M296" i="7"/>
  <c r="M300" i="7"/>
  <c r="M300" i="3"/>
  <c r="M232" i="3"/>
  <c r="M232" i="7"/>
  <c r="M268" i="7"/>
  <c r="M268" i="3"/>
  <c r="M216" i="3"/>
  <c r="M216" i="7"/>
  <c r="M264" i="3"/>
  <c r="M264" i="7"/>
  <c r="M213" i="7"/>
  <c r="M213" i="3"/>
  <c r="M217" i="3"/>
  <c r="M217" i="7"/>
  <c r="M221" i="7"/>
  <c r="M221" i="3"/>
  <c r="M225" i="3"/>
  <c r="M225" i="7"/>
  <c r="M229" i="7"/>
  <c r="M229" i="3"/>
  <c r="M233" i="3"/>
  <c r="M233" i="7"/>
  <c r="M237" i="7"/>
  <c r="M237" i="3"/>
  <c r="M241" i="3"/>
  <c r="M241" i="7"/>
  <c r="M245" i="7"/>
  <c r="M245" i="3"/>
  <c r="M249" i="3"/>
  <c r="M249" i="7"/>
  <c r="M253" i="7"/>
  <c r="M253" i="3"/>
  <c r="M257" i="3"/>
  <c r="M257" i="7"/>
  <c r="M261" i="7"/>
  <c r="M261" i="3"/>
  <c r="M265" i="3"/>
  <c r="M265" i="7"/>
  <c r="M269" i="7"/>
  <c r="M269" i="3"/>
  <c r="M273" i="3"/>
  <c r="M273" i="7"/>
  <c r="M277" i="7"/>
  <c r="M277" i="3"/>
  <c r="M281" i="3"/>
  <c r="M281" i="7"/>
  <c r="M285" i="7"/>
  <c r="M285" i="3"/>
  <c r="M289" i="3"/>
  <c r="M289" i="7"/>
  <c r="M293" i="7"/>
  <c r="M293" i="3"/>
  <c r="M297" i="3"/>
  <c r="M297" i="7"/>
  <c r="M301" i="7"/>
  <c r="M301" i="3"/>
  <c r="M228" i="7"/>
  <c r="M228" i="3"/>
  <c r="M256" i="3"/>
  <c r="M256" i="7"/>
  <c r="M224" i="3"/>
  <c r="M224" i="7"/>
  <c r="M248" i="3"/>
  <c r="M248" i="7"/>
  <c r="M214" i="7"/>
  <c r="M214" i="3"/>
  <c r="M218" i="3"/>
  <c r="M218" i="7"/>
  <c r="M222" i="7"/>
  <c r="M222" i="3"/>
  <c r="M226" i="3"/>
  <c r="M226" i="7"/>
  <c r="M230" i="7"/>
  <c r="M230" i="3"/>
  <c r="M234" i="3"/>
  <c r="M234" i="7"/>
  <c r="M238" i="7"/>
  <c r="M238" i="3"/>
  <c r="M242" i="3"/>
  <c r="M242" i="7"/>
  <c r="M246" i="7"/>
  <c r="M246" i="3"/>
  <c r="M250" i="3"/>
  <c r="M250" i="7"/>
  <c r="M254" i="7"/>
  <c r="M254" i="3"/>
  <c r="M258" i="3"/>
  <c r="M258" i="7"/>
  <c r="M262" i="7"/>
  <c r="M262" i="3"/>
  <c r="M266" i="3"/>
  <c r="M266" i="7"/>
  <c r="M270" i="7"/>
  <c r="M270" i="3"/>
  <c r="M274" i="3"/>
  <c r="M274" i="7"/>
  <c r="M278" i="7"/>
  <c r="M278" i="3"/>
  <c r="M282" i="3"/>
  <c r="M282" i="7"/>
  <c r="M286" i="7"/>
  <c r="M286" i="3"/>
  <c r="M290" i="3"/>
  <c r="M290" i="7"/>
  <c r="M294" i="7"/>
  <c r="M294" i="3"/>
  <c r="M298" i="3"/>
  <c r="M298" i="7"/>
  <c r="M302" i="7"/>
  <c r="M302" i="3"/>
  <c r="M210" i="3"/>
  <c r="M210" i="7"/>
  <c r="M236" i="7"/>
  <c r="M236" i="3"/>
  <c r="M260" i="7"/>
  <c r="M260" i="3"/>
  <c r="M220" i="7"/>
  <c r="M220" i="3"/>
  <c r="M244" i="7"/>
  <c r="M244" i="3"/>
  <c r="M215" i="3"/>
  <c r="M215" i="7"/>
  <c r="M219" i="7"/>
  <c r="M219" i="3"/>
  <c r="M223" i="3"/>
  <c r="M223" i="7"/>
  <c r="M227" i="7"/>
  <c r="M227" i="3"/>
  <c r="M231" i="3"/>
  <c r="M231" i="7"/>
  <c r="M235" i="7"/>
  <c r="M235" i="3"/>
  <c r="M239" i="3"/>
  <c r="M239" i="7"/>
  <c r="M243" i="7"/>
  <c r="M243" i="3"/>
  <c r="M247" i="3"/>
  <c r="M247" i="7"/>
  <c r="M251" i="7"/>
  <c r="M251" i="3"/>
  <c r="M255" i="3"/>
  <c r="M255" i="7"/>
  <c r="M259" i="7"/>
  <c r="M259" i="3"/>
  <c r="M263" i="3"/>
  <c r="M263" i="7"/>
  <c r="M267" i="7"/>
  <c r="M267" i="3"/>
  <c r="M271" i="3"/>
  <c r="M271" i="7"/>
  <c r="M275" i="7"/>
  <c r="M275" i="3"/>
  <c r="M279" i="3"/>
  <c r="M279" i="7"/>
  <c r="M283" i="7"/>
  <c r="M283" i="3"/>
  <c r="M287" i="3"/>
  <c r="M287" i="7"/>
  <c r="M291" i="7"/>
  <c r="M291" i="3"/>
  <c r="M295" i="3"/>
  <c r="M295" i="7"/>
  <c r="M299" i="7"/>
  <c r="M299" i="3"/>
  <c r="BT2" i="3" a="1"/>
  <c r="BT2" i="3" s="1"/>
  <c r="D2" i="3" a="1"/>
  <c r="D2" i="3" s="1"/>
  <c r="D2" i="2" a="1"/>
  <c r="D2" i="2" s="1"/>
  <c r="BD2" i="3" a="1"/>
  <c r="BD2" i="3" s="1"/>
  <c r="BR209" i="3"/>
  <c r="BB207" i="3"/>
  <c r="B207" i="7" s="1"/>
  <c r="BB211" i="3"/>
  <c r="BR210" i="3"/>
  <c r="BB208" i="3"/>
  <c r="BB212" i="3"/>
  <c r="BR207" i="3"/>
  <c r="BR211" i="3"/>
  <c r="BB209" i="3"/>
  <c r="BR208" i="3"/>
  <c r="BR212" i="3"/>
  <c r="BR205" i="3"/>
  <c r="BR201" i="3"/>
  <c r="BB205" i="3"/>
  <c r="BB201" i="3"/>
  <c r="B201" i="3" s="1"/>
  <c r="BR204" i="3"/>
  <c r="BB204" i="3"/>
  <c r="BR203" i="3"/>
  <c r="BB203" i="3"/>
  <c r="BR206" i="3"/>
  <c r="BR202" i="3"/>
  <c r="BB206" i="3"/>
  <c r="BB202" i="3"/>
  <c r="BB197" i="3"/>
  <c r="BR197" i="3"/>
  <c r="BB200" i="3"/>
  <c r="BB196" i="3"/>
  <c r="BR200" i="3"/>
  <c r="BR196" i="3"/>
  <c r="BB199" i="3"/>
  <c r="BB195" i="3"/>
  <c r="BR198" i="3"/>
  <c r="BB198" i="3"/>
  <c r="BR195" i="3"/>
  <c r="BR199" i="3"/>
  <c r="BC3" i="2"/>
  <c r="L3" i="2" s="1"/>
  <c r="BR175" i="3"/>
  <c r="BR143" i="3"/>
  <c r="BR111" i="3"/>
  <c r="BR79" i="3"/>
  <c r="BR47" i="3"/>
  <c r="BR15" i="3"/>
  <c r="BR187" i="3"/>
  <c r="BR155" i="3"/>
  <c r="BR123" i="3"/>
  <c r="BR91" i="3"/>
  <c r="BR59" i="3"/>
  <c r="BR27" i="3"/>
  <c r="BR167" i="3"/>
  <c r="BR135" i="3"/>
  <c r="BR103" i="3"/>
  <c r="BR71" i="3"/>
  <c r="BR39" i="3"/>
  <c r="BR7" i="3"/>
  <c r="BR179" i="3"/>
  <c r="BR147" i="3"/>
  <c r="BR115" i="3"/>
  <c r="BR83" i="3"/>
  <c r="BR51" i="3"/>
  <c r="BR19" i="3"/>
  <c r="BR191" i="3"/>
  <c r="BR159" i="3"/>
  <c r="BR127" i="3"/>
  <c r="BR95" i="3"/>
  <c r="BR63" i="3"/>
  <c r="BR31" i="3"/>
  <c r="BR163" i="3"/>
  <c r="BR131" i="3"/>
  <c r="BR99" i="3"/>
  <c r="BR67" i="3"/>
  <c r="BR35" i="3"/>
  <c r="BR171" i="3"/>
  <c r="BR139" i="3"/>
  <c r="BR107" i="3"/>
  <c r="BR75" i="3"/>
  <c r="BR43" i="3"/>
  <c r="BR11" i="3"/>
  <c r="BR23" i="3"/>
  <c r="BR55" i="3"/>
  <c r="BR87" i="3"/>
  <c r="BR119" i="3"/>
  <c r="BR151" i="3"/>
  <c r="BR183" i="3"/>
  <c r="AZ1" i="4" a="1"/>
  <c r="AZ1" i="4" s="1"/>
  <c r="BB7" i="3"/>
  <c r="BB11" i="3"/>
  <c r="BB15" i="3"/>
  <c r="BB19" i="3"/>
  <c r="BB23" i="3"/>
  <c r="BB27" i="3"/>
  <c r="BB31" i="3"/>
  <c r="BB35" i="3"/>
  <c r="BB39" i="3"/>
  <c r="BB43" i="3"/>
  <c r="BB47" i="3"/>
  <c r="BB51" i="3"/>
  <c r="BB55" i="3"/>
  <c r="BB59" i="3"/>
  <c r="BB63" i="3"/>
  <c r="BB67" i="3"/>
  <c r="BB71" i="3"/>
  <c r="BB75" i="3"/>
  <c r="BB79" i="3"/>
  <c r="BB83" i="3"/>
  <c r="BB87" i="3"/>
  <c r="BB91" i="3"/>
  <c r="BB95" i="3"/>
  <c r="BB99" i="3"/>
  <c r="BB103" i="3"/>
  <c r="BB107" i="3"/>
  <c r="BB111" i="3"/>
  <c r="BB115" i="3"/>
  <c r="BB119" i="3"/>
  <c r="BB123" i="3"/>
  <c r="BB127" i="3"/>
  <c r="BB131" i="3"/>
  <c r="BB135" i="3"/>
  <c r="BB139" i="3"/>
  <c r="BB143" i="3"/>
  <c r="BB147" i="3"/>
  <c r="BB151" i="3"/>
  <c r="BB155" i="3"/>
  <c r="BB159" i="3"/>
  <c r="BB163" i="3"/>
  <c r="BB167" i="3"/>
  <c r="BB171" i="3"/>
  <c r="BB175" i="3"/>
  <c r="BB179" i="3"/>
  <c r="BB183" i="3"/>
  <c r="BB187" i="3"/>
  <c r="BB191" i="3"/>
  <c r="BR4" i="3"/>
  <c r="BR8" i="3"/>
  <c r="BR12" i="3"/>
  <c r="BR16" i="3"/>
  <c r="BR20" i="3"/>
  <c r="BR24" i="3"/>
  <c r="BR28" i="3"/>
  <c r="BR32" i="3"/>
  <c r="BR36" i="3"/>
  <c r="BR40" i="3"/>
  <c r="BR44" i="3"/>
  <c r="BR48" i="3"/>
  <c r="BR52" i="3"/>
  <c r="BR56" i="3"/>
  <c r="BR60" i="3"/>
  <c r="BR64" i="3"/>
  <c r="BR68" i="3"/>
  <c r="BR72" i="3"/>
  <c r="BR76" i="3"/>
  <c r="BR80" i="3"/>
  <c r="BR84" i="3"/>
  <c r="BR88" i="3"/>
  <c r="BR92" i="3"/>
  <c r="BR96" i="3"/>
  <c r="BR100" i="3"/>
  <c r="BR104" i="3"/>
  <c r="BR108" i="3"/>
  <c r="BR112" i="3"/>
  <c r="BR116" i="3"/>
  <c r="BR120" i="3"/>
  <c r="BR124" i="3"/>
  <c r="BR128" i="3"/>
  <c r="BR132" i="3"/>
  <c r="BR136" i="3"/>
  <c r="BR140" i="3"/>
  <c r="BR144" i="3"/>
  <c r="BR148" i="3"/>
  <c r="BR152" i="3"/>
  <c r="BR156" i="3"/>
  <c r="BR160" i="3"/>
  <c r="BR164" i="3"/>
  <c r="BR168" i="3"/>
  <c r="BR172" i="3"/>
  <c r="BR176" i="3"/>
  <c r="BR180" i="3"/>
  <c r="BR184" i="3"/>
  <c r="BR188" i="3"/>
  <c r="BR192" i="3"/>
  <c r="BB4" i="3"/>
  <c r="BB8" i="3"/>
  <c r="BB12" i="3"/>
  <c r="BB16" i="3"/>
  <c r="BB20" i="3"/>
  <c r="BB24" i="3"/>
  <c r="BB28" i="3"/>
  <c r="BB32" i="3"/>
  <c r="BB36" i="3"/>
  <c r="BB40" i="3"/>
  <c r="BB44" i="3"/>
  <c r="BB48" i="3"/>
  <c r="BB52" i="3"/>
  <c r="BB56" i="3"/>
  <c r="BB60" i="3"/>
  <c r="BB64" i="3"/>
  <c r="BB68" i="3"/>
  <c r="BB72" i="3"/>
  <c r="BB76" i="3"/>
  <c r="BB80" i="3"/>
  <c r="BB84" i="3"/>
  <c r="BB88" i="3"/>
  <c r="BB92" i="3"/>
  <c r="BB96" i="3"/>
  <c r="BB100" i="3"/>
  <c r="BB104" i="3"/>
  <c r="BB108" i="3"/>
  <c r="BB112" i="3"/>
  <c r="BB116" i="3"/>
  <c r="BB120" i="3"/>
  <c r="BB124" i="3"/>
  <c r="BB128" i="3"/>
  <c r="BB132" i="3"/>
  <c r="BB136" i="3"/>
  <c r="BB140" i="3"/>
  <c r="BB144" i="3"/>
  <c r="BB148" i="3"/>
  <c r="BB152" i="3"/>
  <c r="BB156" i="3"/>
  <c r="BB160" i="3"/>
  <c r="BB164" i="3"/>
  <c r="BB168" i="3"/>
  <c r="BB172" i="3"/>
  <c r="BB176" i="3"/>
  <c r="BB180" i="3"/>
  <c r="BB184" i="3"/>
  <c r="BB188" i="3"/>
  <c r="BB192" i="3"/>
  <c r="BR5" i="3"/>
  <c r="BR9" i="3"/>
  <c r="BR13" i="3"/>
  <c r="BR17" i="3"/>
  <c r="BR21" i="3"/>
  <c r="BR25" i="3"/>
  <c r="BR29" i="3"/>
  <c r="BR33" i="3"/>
  <c r="BR37" i="3"/>
  <c r="BR41" i="3"/>
  <c r="BR45" i="3"/>
  <c r="BR49" i="3"/>
  <c r="BR53" i="3"/>
  <c r="BR57" i="3"/>
  <c r="BR61" i="3"/>
  <c r="BR65" i="3"/>
  <c r="BR69" i="3"/>
  <c r="BR73" i="3"/>
  <c r="BR77" i="3"/>
  <c r="BR81" i="3"/>
  <c r="BR85" i="3"/>
  <c r="BR89" i="3"/>
  <c r="BR93" i="3"/>
  <c r="BR97" i="3"/>
  <c r="BR101" i="3"/>
  <c r="BR105" i="3"/>
  <c r="BR109" i="3"/>
  <c r="BR113" i="3"/>
  <c r="BR117" i="3"/>
  <c r="BR121" i="3"/>
  <c r="BR125" i="3"/>
  <c r="BR129" i="3"/>
  <c r="BR133" i="3"/>
  <c r="BR137" i="3"/>
  <c r="BR141" i="3"/>
  <c r="BR145" i="3"/>
  <c r="BR149" i="3"/>
  <c r="BR153" i="3"/>
  <c r="BR157" i="3"/>
  <c r="BR161" i="3"/>
  <c r="BR165" i="3"/>
  <c r="BR169" i="3"/>
  <c r="BR173" i="3"/>
  <c r="BR177" i="3"/>
  <c r="BR181" i="3"/>
  <c r="BR185" i="3"/>
  <c r="BR189" i="3"/>
  <c r="BR193" i="3"/>
  <c r="BB5" i="3"/>
  <c r="BB9" i="3"/>
  <c r="BB13" i="3"/>
  <c r="BB17" i="3"/>
  <c r="BB21" i="3"/>
  <c r="BB25" i="3"/>
  <c r="BB29" i="3"/>
  <c r="BB33" i="3"/>
  <c r="BB37" i="3"/>
  <c r="BB41" i="3"/>
  <c r="BB45" i="3"/>
  <c r="BB49" i="3"/>
  <c r="BB53" i="3"/>
  <c r="BB57" i="3"/>
  <c r="BB61" i="3"/>
  <c r="BB65" i="3"/>
  <c r="BB69" i="3"/>
  <c r="BB73" i="3"/>
  <c r="BB77" i="3"/>
  <c r="BB81" i="3"/>
  <c r="BB85" i="3"/>
  <c r="BB89" i="3"/>
  <c r="BB93" i="3"/>
  <c r="BB97" i="3"/>
  <c r="BB101" i="3"/>
  <c r="BB105" i="3"/>
  <c r="BB109" i="3"/>
  <c r="BB113" i="3"/>
  <c r="BB117" i="3"/>
  <c r="BB121" i="3"/>
  <c r="BB125" i="3"/>
  <c r="BB129" i="3"/>
  <c r="BB133" i="3"/>
  <c r="BB137" i="3"/>
  <c r="BB141" i="3"/>
  <c r="BB145" i="3"/>
  <c r="BB149" i="3"/>
  <c r="BB153" i="3"/>
  <c r="BB157" i="3"/>
  <c r="BB161" i="3"/>
  <c r="BB165" i="3"/>
  <c r="BB169" i="3"/>
  <c r="BB173" i="3"/>
  <c r="BB177" i="3"/>
  <c r="BB181" i="3"/>
  <c r="BB185" i="3"/>
  <c r="BB189" i="3"/>
  <c r="BB193" i="3"/>
  <c r="BR6" i="3"/>
  <c r="BR10" i="3"/>
  <c r="BR14" i="3"/>
  <c r="BR18" i="3"/>
  <c r="BR22" i="3"/>
  <c r="BR26" i="3"/>
  <c r="BR30" i="3"/>
  <c r="BR34" i="3"/>
  <c r="BR38" i="3"/>
  <c r="BR42" i="3"/>
  <c r="BR46" i="3"/>
  <c r="BR50" i="3"/>
  <c r="BR54" i="3"/>
  <c r="BR58" i="3"/>
  <c r="BR62" i="3"/>
  <c r="BR66" i="3"/>
  <c r="BR70" i="3"/>
  <c r="BR74" i="3"/>
  <c r="BR78" i="3"/>
  <c r="BR82" i="3"/>
  <c r="BR86" i="3"/>
  <c r="BR90" i="3"/>
  <c r="BR94" i="3"/>
  <c r="BR98" i="3"/>
  <c r="BR102" i="3"/>
  <c r="BR106" i="3"/>
  <c r="BR110" i="3"/>
  <c r="BR114" i="3"/>
  <c r="BR118" i="3"/>
  <c r="BR122" i="3"/>
  <c r="BR126" i="3"/>
  <c r="BR130" i="3"/>
  <c r="BR134" i="3"/>
  <c r="BR138" i="3"/>
  <c r="BR142" i="3"/>
  <c r="BR146" i="3"/>
  <c r="BR150" i="3"/>
  <c r="BR154" i="3"/>
  <c r="BR158" i="3"/>
  <c r="BR162" i="3"/>
  <c r="BR166" i="3"/>
  <c r="BR170" i="3"/>
  <c r="BR174" i="3"/>
  <c r="BR178" i="3"/>
  <c r="BR182" i="3"/>
  <c r="BR186" i="3"/>
  <c r="BR190" i="3"/>
  <c r="BR194" i="3"/>
  <c r="BB6" i="3"/>
  <c r="BB10" i="3"/>
  <c r="BB14" i="3"/>
  <c r="BB18" i="3"/>
  <c r="BB22" i="3"/>
  <c r="BB26" i="3"/>
  <c r="BB30" i="3"/>
  <c r="BB34" i="3"/>
  <c r="BB38" i="3"/>
  <c r="BB42" i="3"/>
  <c r="BB46" i="3"/>
  <c r="BB50" i="3"/>
  <c r="BB54" i="3"/>
  <c r="BB58" i="3"/>
  <c r="BB62" i="3"/>
  <c r="BB66" i="3"/>
  <c r="BB70" i="3"/>
  <c r="BB74" i="3"/>
  <c r="BB78" i="3"/>
  <c r="BB82" i="3"/>
  <c r="BB86" i="3"/>
  <c r="BB90" i="3"/>
  <c r="BB94" i="3"/>
  <c r="BB98" i="3"/>
  <c r="BB102" i="3"/>
  <c r="BB106" i="3"/>
  <c r="BB110" i="3"/>
  <c r="BB114" i="3"/>
  <c r="BB118" i="3"/>
  <c r="BB122" i="3"/>
  <c r="BB126" i="3"/>
  <c r="BB130" i="3"/>
  <c r="BB134" i="3"/>
  <c r="BB138" i="3"/>
  <c r="BB142" i="3"/>
  <c r="BB146" i="3"/>
  <c r="BB150" i="3"/>
  <c r="BB154" i="3"/>
  <c r="BB158" i="3"/>
  <c r="BB162" i="3"/>
  <c r="BB166" i="3"/>
  <c r="BB170" i="3"/>
  <c r="BB174" i="3"/>
  <c r="BB178" i="3"/>
  <c r="BB182" i="3"/>
  <c r="BB186" i="3"/>
  <c r="BB190" i="3"/>
  <c r="BB194" i="3"/>
  <c r="H470" i="1" a="1"/>
  <c r="H470" i="1" s="1"/>
  <c r="K470" i="1" s="1"/>
  <c r="H469" i="1" a="1"/>
  <c r="H469" i="1" s="1"/>
  <c r="K469" i="1" s="1"/>
  <c r="H468" i="1" a="1"/>
  <c r="H468" i="1" s="1"/>
  <c r="K468" i="1" s="1"/>
  <c r="H467" i="1" a="1"/>
  <c r="H467" i="1" s="1"/>
  <c r="K467" i="1" s="1"/>
  <c r="H466" i="1" a="1"/>
  <c r="H466" i="1" s="1"/>
  <c r="K466" i="1" s="1"/>
  <c r="H465" i="1" a="1"/>
  <c r="H465" i="1" s="1"/>
  <c r="K465" i="1" s="1"/>
  <c r="H464" i="1" a="1"/>
  <c r="H464" i="1" s="1"/>
  <c r="K464" i="1" s="1"/>
  <c r="H462" i="1" a="1"/>
  <c r="H462" i="1" s="1"/>
  <c r="K462" i="1" s="1"/>
  <c r="H461" i="1" a="1"/>
  <c r="H461" i="1" s="1"/>
  <c r="K461" i="1" s="1"/>
  <c r="H459" i="1" a="1"/>
  <c r="H459" i="1" s="1"/>
  <c r="K459" i="1" s="1"/>
  <c r="H458" i="1" a="1"/>
  <c r="H458" i="1" s="1"/>
  <c r="K458" i="1" s="1"/>
  <c r="H457" i="1" a="1"/>
  <c r="H457" i="1" s="1"/>
  <c r="K457" i="1" s="1"/>
  <c r="H456" i="1" a="1"/>
  <c r="H456" i="1" s="1"/>
  <c r="K456" i="1" s="1"/>
  <c r="H455" i="1" a="1"/>
  <c r="H455" i="1" s="1"/>
  <c r="K455" i="1" s="1"/>
  <c r="H453" i="1" a="1"/>
  <c r="H453" i="1" s="1"/>
  <c r="K453" i="1" s="1"/>
  <c r="H452" i="1" a="1"/>
  <c r="H452" i="1" s="1"/>
  <c r="K452" i="1" s="1"/>
  <c r="H451" i="1" a="1"/>
  <c r="H451" i="1" s="1"/>
  <c r="K451" i="1" s="1"/>
  <c r="H450" i="1" a="1"/>
  <c r="H450" i="1" s="1"/>
  <c r="K450" i="1" s="1"/>
  <c r="H449" i="1" a="1"/>
  <c r="H449" i="1" s="1"/>
  <c r="K449" i="1" s="1"/>
  <c r="H448" i="1" a="1"/>
  <c r="H448" i="1" s="1"/>
  <c r="K448" i="1" s="1"/>
  <c r="H447" i="1" a="1"/>
  <c r="H447" i="1" s="1"/>
  <c r="K447" i="1" s="1"/>
  <c r="H446" i="1" a="1"/>
  <c r="H446" i="1" s="1"/>
  <c r="K446" i="1" s="1"/>
  <c r="H445" i="1" a="1"/>
  <c r="H445" i="1" s="1"/>
  <c r="K445" i="1" s="1"/>
  <c r="H444" i="1" a="1"/>
  <c r="H444" i="1" s="1"/>
  <c r="K444" i="1" s="1"/>
  <c r="H442" i="1" a="1"/>
  <c r="H442" i="1" s="1"/>
  <c r="K442" i="1" s="1"/>
  <c r="H441" i="1" a="1"/>
  <c r="H441" i="1" s="1"/>
  <c r="K441" i="1" s="1"/>
  <c r="H440" i="1" a="1"/>
  <c r="H440" i="1" s="1"/>
  <c r="K440" i="1" s="1"/>
  <c r="H439" i="1" a="1"/>
  <c r="H439" i="1" s="1"/>
  <c r="K439" i="1" s="1"/>
  <c r="H438" i="1" a="1"/>
  <c r="H438" i="1" s="1"/>
  <c r="K438" i="1" s="1"/>
  <c r="H437" i="1" a="1"/>
  <c r="H437" i="1" s="1"/>
  <c r="K437" i="1" s="1"/>
  <c r="H436" i="1" a="1"/>
  <c r="H436" i="1" s="1"/>
  <c r="K436" i="1" s="1"/>
  <c r="H435" i="1" a="1"/>
  <c r="H435" i="1" s="1"/>
  <c r="K435" i="1" s="1"/>
  <c r="H434" i="1" a="1"/>
  <c r="H434" i="1" s="1"/>
  <c r="K434" i="1" s="1"/>
  <c r="H433" i="1" a="1"/>
  <c r="H433" i="1" s="1"/>
  <c r="K433" i="1" s="1"/>
  <c r="H432" i="1" a="1"/>
  <c r="H432" i="1" s="1"/>
  <c r="K432" i="1" s="1"/>
  <c r="H431" i="1" a="1"/>
  <c r="H431" i="1" s="1"/>
  <c r="K431" i="1" s="1"/>
  <c r="H430" i="1" a="1"/>
  <c r="H430" i="1" s="1"/>
  <c r="K430" i="1" s="1"/>
  <c r="H429" i="1" a="1"/>
  <c r="H429" i="1" s="1"/>
  <c r="K429" i="1" s="1"/>
  <c r="H428" i="1" a="1"/>
  <c r="H428" i="1" s="1"/>
  <c r="K428" i="1" s="1"/>
  <c r="H427" i="1" a="1"/>
  <c r="H427" i="1" s="1"/>
  <c r="K427" i="1" s="1"/>
  <c r="H426" i="1" a="1"/>
  <c r="H426" i="1" s="1"/>
  <c r="K426" i="1" s="1"/>
  <c r="H425" i="1" a="1"/>
  <c r="H425" i="1" s="1"/>
  <c r="K425" i="1" s="1"/>
  <c r="H424" i="1" a="1"/>
  <c r="H424" i="1" s="1"/>
  <c r="K424" i="1" s="1"/>
  <c r="H423" i="1" a="1"/>
  <c r="H423" i="1" s="1"/>
  <c r="K423" i="1" s="1"/>
  <c r="H422" i="1" a="1"/>
  <c r="H422" i="1" s="1"/>
  <c r="K422" i="1" s="1"/>
  <c r="H421" i="1" a="1"/>
  <c r="H421" i="1" s="1"/>
  <c r="K421" i="1" s="1"/>
  <c r="H420" i="1" a="1"/>
  <c r="H420" i="1" s="1"/>
  <c r="K420" i="1" s="1"/>
  <c r="H419" i="1" a="1"/>
  <c r="H419" i="1" s="1"/>
  <c r="K419" i="1" s="1"/>
  <c r="H418" i="1" a="1"/>
  <c r="H418" i="1" s="1"/>
  <c r="K418" i="1" s="1"/>
  <c r="H417" i="1" a="1"/>
  <c r="H417" i="1" s="1"/>
  <c r="K417" i="1" s="1"/>
  <c r="H416" i="1" a="1"/>
  <c r="H416" i="1" s="1"/>
  <c r="K416" i="1" s="1"/>
  <c r="H415" i="1" a="1"/>
  <c r="H415" i="1" s="1"/>
  <c r="K415" i="1" s="1"/>
  <c r="H414" i="1" a="1"/>
  <c r="H414" i="1" s="1"/>
  <c r="K414" i="1" s="1"/>
  <c r="H413" i="1" a="1"/>
  <c r="H413" i="1" s="1"/>
  <c r="K413" i="1" s="1"/>
  <c r="H412" i="1" a="1"/>
  <c r="H412" i="1" s="1"/>
  <c r="K412" i="1" s="1"/>
  <c r="H411" i="1" a="1"/>
  <c r="H411" i="1" s="1"/>
  <c r="K411" i="1" s="1"/>
  <c r="H410" i="1" a="1"/>
  <c r="H410" i="1" s="1"/>
  <c r="K410" i="1" s="1"/>
  <c r="H409" i="1" a="1"/>
  <c r="H409" i="1" s="1"/>
  <c r="K409" i="1" s="1"/>
  <c r="H408" i="1" a="1"/>
  <c r="H408" i="1" s="1"/>
  <c r="K408" i="1" s="1"/>
  <c r="H407" i="1" a="1"/>
  <c r="H407" i="1" s="1"/>
  <c r="K407" i="1" s="1"/>
  <c r="H406" i="1" a="1"/>
  <c r="H406" i="1" s="1"/>
  <c r="K406" i="1" s="1"/>
  <c r="H405" i="1" a="1"/>
  <c r="H405" i="1" s="1"/>
  <c r="K405" i="1" s="1"/>
  <c r="H404" i="1" a="1"/>
  <c r="H404" i="1" s="1"/>
  <c r="K404" i="1" s="1"/>
  <c r="H403" i="1" a="1"/>
  <c r="H403" i="1" s="1"/>
  <c r="K403" i="1" s="1"/>
  <c r="H402" i="1" a="1"/>
  <c r="H402" i="1" s="1"/>
  <c r="K402" i="1" s="1"/>
  <c r="H401" i="1" a="1"/>
  <c r="H401" i="1" s="1"/>
  <c r="K401" i="1" s="1"/>
  <c r="H400" i="1" a="1"/>
  <c r="H400" i="1" s="1"/>
  <c r="K400" i="1" s="1"/>
  <c r="H399" i="1" a="1"/>
  <c r="H399" i="1" s="1"/>
  <c r="K399" i="1" s="1"/>
  <c r="H398" i="1" a="1"/>
  <c r="H398" i="1" s="1"/>
  <c r="K398" i="1" s="1"/>
  <c r="H397" i="1" a="1"/>
  <c r="H397" i="1" s="1"/>
  <c r="K397" i="1" s="1"/>
  <c r="H396" i="1" a="1"/>
  <c r="H396" i="1" s="1"/>
  <c r="K396" i="1" s="1"/>
  <c r="H395" i="1" a="1"/>
  <c r="H395" i="1" s="1"/>
  <c r="K395" i="1" s="1"/>
  <c r="H394" i="1" a="1"/>
  <c r="H394" i="1" s="1"/>
  <c r="K394" i="1" s="1"/>
  <c r="H393" i="1" a="1"/>
  <c r="H393" i="1" s="1"/>
  <c r="K393" i="1" s="1"/>
  <c r="H392" i="1" a="1"/>
  <c r="H392" i="1" s="1"/>
  <c r="K392" i="1" s="1"/>
  <c r="H391" i="1" a="1"/>
  <c r="H391" i="1" s="1"/>
  <c r="K391" i="1" s="1"/>
  <c r="H390" i="1" a="1"/>
  <c r="H390" i="1" s="1"/>
  <c r="K390" i="1" s="1"/>
  <c r="H389" i="1" a="1"/>
  <c r="H389" i="1" s="1"/>
  <c r="K389" i="1" s="1"/>
  <c r="H388" i="1" a="1"/>
  <c r="H388" i="1" s="1"/>
  <c r="K388" i="1" s="1"/>
  <c r="H387" i="1" a="1"/>
  <c r="H387" i="1" s="1"/>
  <c r="K387" i="1" s="1"/>
  <c r="H386" i="1" a="1"/>
  <c r="H386" i="1" s="1"/>
  <c r="K386" i="1" s="1"/>
  <c r="H385" i="1" a="1"/>
  <c r="H385" i="1" s="1"/>
  <c r="K385" i="1" s="1"/>
  <c r="H384" i="1" a="1"/>
  <c r="H384" i="1" s="1"/>
  <c r="K384" i="1" s="1"/>
  <c r="H383" i="1" a="1"/>
  <c r="H383" i="1" s="1"/>
  <c r="K383" i="1" s="1"/>
  <c r="H382" i="1" a="1"/>
  <c r="H382" i="1" s="1"/>
  <c r="K382" i="1" s="1"/>
  <c r="H381" i="1" a="1"/>
  <c r="H381" i="1" s="1"/>
  <c r="K381" i="1" s="1"/>
  <c r="H380" i="1" a="1"/>
  <c r="H380" i="1" s="1"/>
  <c r="K380" i="1" s="1"/>
  <c r="H379" i="1" a="1"/>
  <c r="H379" i="1" s="1"/>
  <c r="K379" i="1" s="1"/>
  <c r="H378" i="1" a="1"/>
  <c r="H378" i="1" s="1"/>
  <c r="K378" i="1" s="1"/>
  <c r="H377" i="1" a="1"/>
  <c r="H377" i="1" s="1"/>
  <c r="K377" i="1" s="1"/>
  <c r="H376" i="1" a="1"/>
  <c r="H376" i="1" s="1"/>
  <c r="K376" i="1" s="1"/>
  <c r="H375" i="1" a="1"/>
  <c r="H375" i="1" s="1"/>
  <c r="K375" i="1" s="1"/>
  <c r="H374" i="1" a="1"/>
  <c r="H374" i="1" s="1"/>
  <c r="K374" i="1" s="1"/>
  <c r="H373" i="1" a="1"/>
  <c r="H373" i="1" s="1"/>
  <c r="K373" i="1" s="1"/>
  <c r="H372" i="1" a="1"/>
  <c r="H372" i="1" s="1"/>
  <c r="K372" i="1" s="1"/>
  <c r="H371" i="1" a="1"/>
  <c r="H371" i="1" s="1"/>
  <c r="K371" i="1" s="1"/>
  <c r="H370" i="1" a="1"/>
  <c r="H370" i="1" s="1"/>
  <c r="K370" i="1" s="1"/>
  <c r="H369" i="1" a="1"/>
  <c r="H369" i="1" s="1"/>
  <c r="K369" i="1" s="1"/>
  <c r="H368" i="1" a="1"/>
  <c r="H368" i="1" s="1"/>
  <c r="K368" i="1" s="1"/>
  <c r="H367" i="1" a="1"/>
  <c r="H367" i="1" s="1"/>
  <c r="K367" i="1" s="1"/>
  <c r="H366" i="1" a="1"/>
  <c r="H366" i="1" s="1"/>
  <c r="K366" i="1" s="1"/>
  <c r="H365" i="1" a="1"/>
  <c r="H365" i="1" s="1"/>
  <c r="K365" i="1" s="1"/>
  <c r="H364" i="1" a="1"/>
  <c r="H364" i="1" s="1"/>
  <c r="K364" i="1" s="1"/>
  <c r="H363" i="1" a="1"/>
  <c r="H363" i="1" s="1"/>
  <c r="K363" i="1" s="1"/>
  <c r="H362" i="1" a="1"/>
  <c r="H362" i="1" s="1"/>
  <c r="K362" i="1" s="1"/>
  <c r="H361" i="1" a="1"/>
  <c r="H361" i="1" s="1"/>
  <c r="K361" i="1" s="1"/>
  <c r="H360" i="1" a="1"/>
  <c r="H360" i="1" s="1"/>
  <c r="K360" i="1" s="1"/>
  <c r="H359" i="1" a="1"/>
  <c r="H359" i="1" s="1"/>
  <c r="K359" i="1" s="1"/>
  <c r="H358" i="1" a="1"/>
  <c r="H358" i="1" s="1"/>
  <c r="K358" i="1" s="1"/>
  <c r="H357" i="1" a="1"/>
  <c r="H357" i="1" s="1"/>
  <c r="K357" i="1" s="1"/>
  <c r="H356" i="1" a="1"/>
  <c r="H356" i="1" s="1"/>
  <c r="K356" i="1" s="1"/>
  <c r="H355" i="1" a="1"/>
  <c r="H355" i="1" s="1"/>
  <c r="K355" i="1" s="1"/>
  <c r="H354" i="1" a="1"/>
  <c r="H354" i="1" s="1"/>
  <c r="K354" i="1" s="1"/>
  <c r="H353" i="1" a="1"/>
  <c r="H353" i="1" s="1"/>
  <c r="K353" i="1" s="1"/>
  <c r="H352" i="1" a="1"/>
  <c r="H352" i="1" s="1"/>
  <c r="K352" i="1" s="1"/>
  <c r="H351" i="1" a="1"/>
  <c r="H351" i="1" s="1"/>
  <c r="K351" i="1" s="1"/>
  <c r="H350" i="1" a="1"/>
  <c r="H350" i="1" s="1"/>
  <c r="K350" i="1" s="1"/>
  <c r="H349" i="1" a="1"/>
  <c r="H349" i="1" s="1"/>
  <c r="K349" i="1" s="1"/>
  <c r="H348" i="1" a="1"/>
  <c r="H348" i="1" s="1"/>
  <c r="K348" i="1" s="1"/>
  <c r="H347" i="1" a="1"/>
  <c r="H347" i="1" s="1"/>
  <c r="K347" i="1" s="1"/>
  <c r="H346" i="1" a="1"/>
  <c r="H346" i="1" s="1"/>
  <c r="K346" i="1" s="1"/>
  <c r="H345" i="1" a="1"/>
  <c r="H345" i="1" s="1"/>
  <c r="K345" i="1" s="1"/>
  <c r="H344" i="1" a="1"/>
  <c r="H344" i="1" s="1"/>
  <c r="K344" i="1" s="1"/>
  <c r="H343" i="1" a="1"/>
  <c r="H343" i="1" s="1"/>
  <c r="K343" i="1" s="1"/>
  <c r="H342" i="1" a="1"/>
  <c r="H342" i="1" s="1"/>
  <c r="K342" i="1" s="1"/>
  <c r="H341" i="1" a="1"/>
  <c r="H341" i="1" s="1"/>
  <c r="K341" i="1" s="1"/>
  <c r="H340" i="1" a="1"/>
  <c r="H340" i="1" s="1"/>
  <c r="K340" i="1" s="1"/>
  <c r="H339" i="1" a="1"/>
  <c r="H339" i="1" s="1"/>
  <c r="K339" i="1" s="1"/>
  <c r="H338" i="1" a="1"/>
  <c r="H338" i="1" s="1"/>
  <c r="K338" i="1" s="1"/>
  <c r="H337" i="1" a="1"/>
  <c r="H337" i="1" s="1"/>
  <c r="K337" i="1" s="1"/>
  <c r="H336" i="1" a="1"/>
  <c r="H336" i="1" s="1"/>
  <c r="K336" i="1" s="1"/>
  <c r="H335" i="1" a="1"/>
  <c r="H335" i="1" s="1"/>
  <c r="K335" i="1" s="1"/>
  <c r="H334" i="1" a="1"/>
  <c r="H334" i="1" s="1"/>
  <c r="K334" i="1" s="1"/>
  <c r="H333" i="1" a="1"/>
  <c r="H333" i="1" s="1"/>
  <c r="K333" i="1" s="1"/>
  <c r="H332" i="1" a="1"/>
  <c r="H332" i="1" s="1"/>
  <c r="K332" i="1" s="1"/>
  <c r="H331" i="1" a="1"/>
  <c r="H331" i="1" s="1"/>
  <c r="K331" i="1" s="1"/>
  <c r="H330" i="1" a="1"/>
  <c r="H330" i="1" s="1"/>
  <c r="K330" i="1" s="1"/>
  <c r="H329" i="1" a="1"/>
  <c r="H329" i="1" s="1"/>
  <c r="K329" i="1" s="1"/>
  <c r="H328" i="1" a="1"/>
  <c r="H328" i="1" s="1"/>
  <c r="K328" i="1" s="1"/>
  <c r="H327" i="1" a="1"/>
  <c r="H327" i="1" s="1"/>
  <c r="K327" i="1" s="1"/>
  <c r="H326" i="1" a="1"/>
  <c r="H326" i="1" s="1"/>
  <c r="K326" i="1" s="1"/>
  <c r="H325" i="1" a="1"/>
  <c r="H325" i="1" s="1"/>
  <c r="K325" i="1" s="1"/>
  <c r="H324" i="1" a="1"/>
  <c r="H324" i="1" s="1"/>
  <c r="K324" i="1" s="1"/>
  <c r="H323" i="1" a="1"/>
  <c r="H323" i="1" s="1"/>
  <c r="K323" i="1" s="1"/>
  <c r="H322" i="1" a="1"/>
  <c r="H322" i="1" s="1"/>
  <c r="K322" i="1" s="1"/>
  <c r="H321" i="1" a="1"/>
  <c r="H321" i="1" s="1"/>
  <c r="K321" i="1" s="1"/>
  <c r="H320" i="1" a="1"/>
  <c r="H320" i="1" s="1"/>
  <c r="K320" i="1" s="1"/>
  <c r="H319" i="1" a="1"/>
  <c r="H319" i="1" s="1"/>
  <c r="K319" i="1" s="1"/>
  <c r="H318" i="1" a="1"/>
  <c r="H318" i="1" s="1"/>
  <c r="K318" i="1" s="1"/>
  <c r="H317" i="1" a="1"/>
  <c r="H317" i="1" s="1"/>
  <c r="K317" i="1" s="1"/>
  <c r="H316" i="1" a="1"/>
  <c r="H316" i="1" s="1"/>
  <c r="K316" i="1" s="1"/>
  <c r="H315" i="1" a="1"/>
  <c r="H315" i="1" s="1"/>
  <c r="K315" i="1" s="1"/>
  <c r="H314" i="1" a="1"/>
  <c r="H314" i="1" s="1"/>
  <c r="K314" i="1" s="1"/>
  <c r="H313" i="1" a="1"/>
  <c r="H313" i="1" s="1"/>
  <c r="K313" i="1" s="1"/>
  <c r="H312" i="1" a="1"/>
  <c r="H312" i="1" s="1"/>
  <c r="K312" i="1" s="1"/>
  <c r="H311" i="1" a="1"/>
  <c r="H311" i="1" s="1"/>
  <c r="K311" i="1" s="1"/>
  <c r="H310" i="1" a="1"/>
  <c r="H310" i="1" s="1"/>
  <c r="K310" i="1" s="1"/>
  <c r="H309" i="1" a="1"/>
  <c r="H309" i="1" s="1"/>
  <c r="K309" i="1" s="1"/>
  <c r="H308" i="1" a="1"/>
  <c r="H308" i="1" s="1"/>
  <c r="K308" i="1" s="1"/>
  <c r="H307" i="1" a="1"/>
  <c r="H307" i="1" s="1"/>
  <c r="K307" i="1" s="1"/>
  <c r="H306" i="1" a="1"/>
  <c r="H306" i="1" s="1"/>
  <c r="K306" i="1" s="1"/>
  <c r="H305" i="1" a="1"/>
  <c r="H305" i="1" s="1"/>
  <c r="K305" i="1" s="1"/>
  <c r="H304" i="1" a="1"/>
  <c r="H304" i="1" s="1"/>
  <c r="K304" i="1" s="1"/>
  <c r="H303" i="1" a="1"/>
  <c r="H303" i="1" s="1"/>
  <c r="K303" i="1" s="1"/>
  <c r="H302" i="1" a="1"/>
  <c r="H302" i="1" s="1"/>
  <c r="K302" i="1" s="1"/>
  <c r="H301" i="1" a="1"/>
  <c r="H301" i="1" s="1"/>
  <c r="K301" i="1" s="1"/>
  <c r="H300" i="1" a="1"/>
  <c r="H300" i="1" s="1"/>
  <c r="K300" i="1" s="1"/>
  <c r="H299" i="1" a="1"/>
  <c r="H299" i="1" s="1"/>
  <c r="K299" i="1" s="1"/>
  <c r="H298" i="1" a="1"/>
  <c r="H298" i="1" s="1"/>
  <c r="K298" i="1" s="1"/>
  <c r="H297" i="1" a="1"/>
  <c r="H297" i="1" s="1"/>
  <c r="K297" i="1" s="1"/>
  <c r="H296" i="1" a="1"/>
  <c r="H296" i="1" s="1"/>
  <c r="K296" i="1" s="1"/>
  <c r="H295" i="1" a="1"/>
  <c r="H295" i="1" s="1"/>
  <c r="K295" i="1" s="1"/>
  <c r="H294" i="1" a="1"/>
  <c r="H294" i="1" s="1"/>
  <c r="K294" i="1" s="1"/>
  <c r="H293" i="1" a="1"/>
  <c r="H293" i="1" s="1"/>
  <c r="K293" i="1" s="1"/>
  <c r="H292" i="1" a="1"/>
  <c r="H292" i="1" s="1"/>
  <c r="K292" i="1" s="1"/>
  <c r="H291" i="1" a="1"/>
  <c r="H291" i="1" s="1"/>
  <c r="K291" i="1" s="1"/>
  <c r="H290" i="1" a="1"/>
  <c r="H290" i="1" s="1"/>
  <c r="K290" i="1" s="1"/>
  <c r="H289" i="1" a="1"/>
  <c r="H289" i="1" s="1"/>
  <c r="K289" i="1" s="1"/>
  <c r="H288" i="1" a="1"/>
  <c r="H288" i="1" s="1"/>
  <c r="K288" i="1" s="1"/>
  <c r="H287" i="1" a="1"/>
  <c r="H287" i="1" s="1"/>
  <c r="K287" i="1" s="1"/>
  <c r="H286" i="1" a="1"/>
  <c r="H286" i="1" s="1"/>
  <c r="K286" i="1" s="1"/>
  <c r="H285" i="1" a="1"/>
  <c r="H285" i="1" s="1"/>
  <c r="K285" i="1" s="1"/>
  <c r="H284" i="1" a="1"/>
  <c r="H284" i="1" s="1"/>
  <c r="K284" i="1" s="1"/>
  <c r="H283" i="1" a="1"/>
  <c r="H283" i="1" s="1"/>
  <c r="K283" i="1" s="1"/>
  <c r="H282" i="1" a="1"/>
  <c r="H282" i="1" s="1"/>
  <c r="K282" i="1" s="1"/>
  <c r="H281" i="1" a="1"/>
  <c r="H281" i="1" s="1"/>
  <c r="K281" i="1" s="1"/>
  <c r="H280" i="1" a="1"/>
  <c r="H280" i="1" s="1"/>
  <c r="K280" i="1" s="1"/>
  <c r="H279" i="1" a="1"/>
  <c r="H279" i="1" s="1"/>
  <c r="K279" i="1" s="1"/>
  <c r="H278" i="1" a="1"/>
  <c r="H278" i="1" s="1"/>
  <c r="K278" i="1" s="1"/>
  <c r="H277" i="1" a="1"/>
  <c r="H277" i="1" s="1"/>
  <c r="K277" i="1" s="1"/>
  <c r="H276" i="1" a="1"/>
  <c r="H276" i="1" s="1"/>
  <c r="K276" i="1" s="1"/>
  <c r="H275" i="1" a="1"/>
  <c r="H275" i="1" s="1"/>
  <c r="K275" i="1" s="1"/>
  <c r="H274" i="1" a="1"/>
  <c r="H274" i="1" s="1"/>
  <c r="K274" i="1" s="1"/>
  <c r="H273" i="1" a="1"/>
  <c r="H273" i="1" s="1"/>
  <c r="K273" i="1" s="1"/>
  <c r="H272" i="1" a="1"/>
  <c r="H272" i="1" s="1"/>
  <c r="K272" i="1" s="1"/>
  <c r="H271" i="1" a="1"/>
  <c r="H271" i="1" s="1"/>
  <c r="K271" i="1" s="1"/>
  <c r="H270" i="1" a="1"/>
  <c r="H270" i="1" s="1"/>
  <c r="K270" i="1" s="1"/>
  <c r="H269" i="1" a="1"/>
  <c r="H269" i="1" s="1"/>
  <c r="K269" i="1" s="1"/>
  <c r="H268" i="1" a="1"/>
  <c r="H268" i="1" s="1"/>
  <c r="K268" i="1" s="1"/>
  <c r="H267" i="1" a="1"/>
  <c r="H267" i="1" s="1"/>
  <c r="K267" i="1" s="1"/>
  <c r="H266" i="1" a="1"/>
  <c r="H266" i="1" s="1"/>
  <c r="K266" i="1" s="1"/>
  <c r="H265" i="1" a="1"/>
  <c r="H265" i="1" s="1"/>
  <c r="K265" i="1" s="1"/>
  <c r="H264" i="1" a="1"/>
  <c r="H264" i="1" s="1"/>
  <c r="K264" i="1" s="1"/>
  <c r="H263" i="1" a="1"/>
  <c r="H263" i="1" s="1"/>
  <c r="K263" i="1" s="1"/>
  <c r="H262" i="1" a="1"/>
  <c r="H262" i="1" s="1"/>
  <c r="K262" i="1" s="1"/>
  <c r="H261" i="1" a="1"/>
  <c r="H261" i="1" s="1"/>
  <c r="K261" i="1" s="1"/>
  <c r="H260" i="1" a="1"/>
  <c r="H260" i="1" s="1"/>
  <c r="K260" i="1" s="1"/>
  <c r="H259" i="1" a="1"/>
  <c r="H259" i="1" s="1"/>
  <c r="K259" i="1" s="1"/>
  <c r="H258" i="1" a="1"/>
  <c r="H258" i="1" s="1"/>
  <c r="K258" i="1" s="1"/>
  <c r="H257" i="1" a="1"/>
  <c r="H257" i="1" s="1"/>
  <c r="K257" i="1" s="1"/>
  <c r="H256" i="1" a="1"/>
  <c r="H256" i="1" s="1"/>
  <c r="K256" i="1" s="1"/>
  <c r="H255" i="1" a="1"/>
  <c r="H255" i="1" s="1"/>
  <c r="K255" i="1" s="1"/>
  <c r="H254" i="1" a="1"/>
  <c r="H254" i="1" s="1"/>
  <c r="K254" i="1" s="1"/>
  <c r="H253" i="1" a="1"/>
  <c r="H253" i="1" s="1"/>
  <c r="K253" i="1" s="1"/>
  <c r="H252" i="1" a="1"/>
  <c r="H252" i="1" s="1"/>
  <c r="K252" i="1" s="1"/>
  <c r="H251" i="1" a="1"/>
  <c r="H251" i="1" s="1"/>
  <c r="K251" i="1" s="1"/>
  <c r="H250" i="1" a="1"/>
  <c r="H250" i="1" s="1"/>
  <c r="K250" i="1" s="1"/>
  <c r="H249" i="1" a="1"/>
  <c r="H249" i="1" s="1"/>
  <c r="K249" i="1" s="1"/>
  <c r="H248" i="1" a="1"/>
  <c r="H248" i="1" s="1"/>
  <c r="K248" i="1" s="1"/>
  <c r="H247" i="1" a="1"/>
  <c r="H247" i="1" s="1"/>
  <c r="K247" i="1" s="1"/>
  <c r="H246" i="1" a="1"/>
  <c r="H246" i="1" s="1"/>
  <c r="K246" i="1" s="1"/>
  <c r="H245" i="1" a="1"/>
  <c r="H245" i="1" s="1"/>
  <c r="K245" i="1" s="1"/>
  <c r="H244" i="1" a="1"/>
  <c r="H244" i="1" s="1"/>
  <c r="K244" i="1" s="1"/>
  <c r="H243" i="1" a="1"/>
  <c r="H243" i="1" s="1"/>
  <c r="K243" i="1" s="1"/>
  <c r="H242" i="1" a="1"/>
  <c r="H242" i="1" s="1"/>
  <c r="K242" i="1" s="1"/>
  <c r="H241" i="1" a="1"/>
  <c r="H241" i="1" s="1"/>
  <c r="K241" i="1" s="1"/>
  <c r="H240" i="1" a="1"/>
  <c r="H240" i="1" s="1"/>
  <c r="K240" i="1" s="1"/>
  <c r="H239" i="1" a="1"/>
  <c r="H239" i="1" s="1"/>
  <c r="K239" i="1" s="1"/>
  <c r="H238" i="1" a="1"/>
  <c r="H238" i="1" s="1"/>
  <c r="K238" i="1" s="1"/>
  <c r="H237" i="1" a="1"/>
  <c r="H237" i="1" s="1"/>
  <c r="K237" i="1" s="1"/>
  <c r="H236" i="1" a="1"/>
  <c r="H236" i="1" s="1"/>
  <c r="K236" i="1" s="1"/>
  <c r="H235" i="1" a="1"/>
  <c r="H235" i="1" s="1"/>
  <c r="K235" i="1" s="1"/>
  <c r="H234" i="1" a="1"/>
  <c r="H234" i="1" s="1"/>
  <c r="K234" i="1" s="1"/>
  <c r="H233" i="1" a="1"/>
  <c r="H233" i="1" s="1"/>
  <c r="K233" i="1" s="1"/>
  <c r="H232" i="1" a="1"/>
  <c r="H232" i="1" s="1"/>
  <c r="K232" i="1" s="1"/>
  <c r="H231" i="1" a="1"/>
  <c r="H231" i="1" s="1"/>
  <c r="K231" i="1" s="1"/>
  <c r="H230" i="1" a="1"/>
  <c r="H230" i="1" s="1"/>
  <c r="K230" i="1" s="1"/>
  <c r="H229" i="1" a="1"/>
  <c r="H229" i="1" s="1"/>
  <c r="K229" i="1" s="1"/>
  <c r="H228" i="1" a="1"/>
  <c r="H228" i="1" s="1"/>
  <c r="K228" i="1" s="1"/>
  <c r="H227" i="1" a="1"/>
  <c r="H227" i="1" s="1"/>
  <c r="K227" i="1" s="1"/>
  <c r="H226" i="1" a="1"/>
  <c r="H226" i="1" s="1"/>
  <c r="K226" i="1" s="1"/>
  <c r="H225" i="1" a="1"/>
  <c r="H225" i="1" s="1"/>
  <c r="K225" i="1" s="1"/>
  <c r="H224" i="1" a="1"/>
  <c r="H224" i="1" s="1"/>
  <c r="K224" i="1" s="1"/>
  <c r="H223" i="1" a="1"/>
  <c r="H223" i="1" s="1"/>
  <c r="K223" i="1" s="1"/>
  <c r="H222" i="1" a="1"/>
  <c r="H222" i="1" s="1"/>
  <c r="K222" i="1" s="1"/>
  <c r="H221" i="1" a="1"/>
  <c r="H221" i="1" s="1"/>
  <c r="K221" i="1" s="1"/>
  <c r="H220" i="1" a="1"/>
  <c r="H220" i="1" s="1"/>
  <c r="K220" i="1" s="1"/>
  <c r="H219" i="1" a="1"/>
  <c r="H219" i="1" s="1"/>
  <c r="K219" i="1" s="1"/>
  <c r="H218" i="1" a="1"/>
  <c r="H218" i="1" s="1"/>
  <c r="K218" i="1" s="1"/>
  <c r="H217" i="1" a="1"/>
  <c r="H217" i="1" s="1"/>
  <c r="K217" i="1" s="1"/>
  <c r="H216" i="1" a="1"/>
  <c r="H216" i="1" s="1"/>
  <c r="K216" i="1" s="1"/>
  <c r="H215" i="1" a="1"/>
  <c r="H215" i="1" s="1"/>
  <c r="K215" i="1" s="1"/>
  <c r="H214" i="1" a="1"/>
  <c r="H214" i="1" s="1"/>
  <c r="K214" i="1" s="1"/>
  <c r="H213" i="1" a="1"/>
  <c r="H213" i="1" s="1"/>
  <c r="K213" i="1" s="1"/>
  <c r="H212" i="1" a="1"/>
  <c r="H212" i="1" s="1"/>
  <c r="K212" i="1" s="1"/>
  <c r="H211" i="1" a="1"/>
  <c r="H211" i="1" s="1"/>
  <c r="K211" i="1" s="1"/>
  <c r="H210" i="1" a="1"/>
  <c r="H210" i="1" s="1"/>
  <c r="K210" i="1" s="1"/>
  <c r="H209" i="1" a="1"/>
  <c r="H209" i="1" s="1"/>
  <c r="K209" i="1" s="1"/>
  <c r="H208" i="1" a="1"/>
  <c r="H208" i="1" s="1"/>
  <c r="K208" i="1" s="1"/>
  <c r="H207" i="1" a="1"/>
  <c r="H207" i="1" s="1"/>
  <c r="K207" i="1" s="1"/>
  <c r="H206" i="1" a="1"/>
  <c r="H206" i="1" s="1"/>
  <c r="K206" i="1" s="1"/>
  <c r="H205" i="1" a="1"/>
  <c r="H205" i="1" s="1"/>
  <c r="K205" i="1" s="1"/>
  <c r="H204" i="1" a="1"/>
  <c r="H204" i="1" s="1"/>
  <c r="K204" i="1" s="1"/>
  <c r="H203" i="1" a="1"/>
  <c r="H203" i="1" s="1"/>
  <c r="K203" i="1" s="1"/>
  <c r="H202" i="1" a="1"/>
  <c r="H202" i="1" s="1"/>
  <c r="K202" i="1" s="1"/>
  <c r="H201" i="1" a="1"/>
  <c r="H201" i="1" s="1"/>
  <c r="K201" i="1" s="1"/>
  <c r="H200" i="1" a="1"/>
  <c r="H200" i="1" s="1"/>
  <c r="K200" i="1" s="1"/>
  <c r="H199" i="1" a="1"/>
  <c r="H199" i="1" s="1"/>
  <c r="K199" i="1" s="1"/>
  <c r="H198" i="1" a="1"/>
  <c r="H198" i="1" s="1"/>
  <c r="K198" i="1" s="1"/>
  <c r="H197" i="1" a="1"/>
  <c r="H197" i="1" s="1"/>
  <c r="K197" i="1" s="1"/>
  <c r="H196" i="1" a="1"/>
  <c r="H196" i="1" s="1"/>
  <c r="K196" i="1" s="1"/>
  <c r="H195" i="1" a="1"/>
  <c r="H195" i="1" s="1"/>
  <c r="K195" i="1" s="1"/>
  <c r="H194" i="1" a="1"/>
  <c r="H194" i="1" s="1"/>
  <c r="K194" i="1" s="1"/>
  <c r="H193" i="1" a="1"/>
  <c r="H193" i="1" s="1"/>
  <c r="K193" i="1" s="1"/>
  <c r="H192" i="1" a="1"/>
  <c r="H192" i="1" s="1"/>
  <c r="K192" i="1" s="1"/>
  <c r="H191" i="1" a="1"/>
  <c r="H191" i="1" s="1"/>
  <c r="K191" i="1" s="1"/>
  <c r="H190" i="1" a="1"/>
  <c r="H190" i="1" s="1"/>
  <c r="K190" i="1" s="1"/>
  <c r="H189" i="1" a="1"/>
  <c r="H189" i="1" s="1"/>
  <c r="K189" i="1" s="1"/>
  <c r="H188" i="1" a="1"/>
  <c r="H188" i="1" s="1"/>
  <c r="K188" i="1" s="1"/>
  <c r="H187" i="1" a="1"/>
  <c r="H187" i="1" s="1"/>
  <c r="K187" i="1" s="1"/>
  <c r="H186" i="1" a="1"/>
  <c r="H186" i="1" s="1"/>
  <c r="K186" i="1" s="1"/>
  <c r="H185" i="1" a="1"/>
  <c r="H185" i="1" s="1"/>
  <c r="K185" i="1" s="1"/>
  <c r="H184" i="1" a="1"/>
  <c r="H184" i="1" s="1"/>
  <c r="K184" i="1" s="1"/>
  <c r="H183" i="1" a="1"/>
  <c r="H183" i="1" s="1"/>
  <c r="K183" i="1" s="1"/>
  <c r="H182" i="1" a="1"/>
  <c r="H182" i="1" s="1"/>
  <c r="K182" i="1" s="1"/>
  <c r="H181" i="1" a="1"/>
  <c r="H181" i="1" s="1"/>
  <c r="K181" i="1" s="1"/>
  <c r="H180" i="1" a="1"/>
  <c r="H180" i="1" s="1"/>
  <c r="K180" i="1" s="1"/>
  <c r="H179" i="1" a="1"/>
  <c r="H179" i="1" s="1"/>
  <c r="K179" i="1" s="1"/>
  <c r="H178" i="1" a="1"/>
  <c r="H178" i="1" s="1"/>
  <c r="K178" i="1" s="1"/>
  <c r="H177" i="1" a="1"/>
  <c r="H177" i="1" s="1"/>
  <c r="K177" i="1" s="1"/>
  <c r="H176" i="1" a="1"/>
  <c r="H176" i="1" s="1"/>
  <c r="K176" i="1" s="1"/>
  <c r="H175" i="1" a="1"/>
  <c r="H175" i="1" s="1"/>
  <c r="K175" i="1" s="1"/>
  <c r="H174" i="1" a="1"/>
  <c r="H174" i="1" s="1"/>
  <c r="K174" i="1" s="1"/>
  <c r="H173" i="1" a="1"/>
  <c r="H173" i="1" s="1"/>
  <c r="K173" i="1" s="1"/>
  <c r="H172" i="1" a="1"/>
  <c r="H172" i="1" s="1"/>
  <c r="K172" i="1" s="1"/>
  <c r="H171" i="1" a="1"/>
  <c r="H171" i="1" s="1"/>
  <c r="K171" i="1" s="1"/>
  <c r="H170" i="1" a="1"/>
  <c r="H170" i="1" s="1"/>
  <c r="K170" i="1" s="1"/>
  <c r="H169" i="1" a="1"/>
  <c r="H169" i="1" s="1"/>
  <c r="K169" i="1" s="1"/>
  <c r="H168" i="1" a="1"/>
  <c r="H168" i="1" s="1"/>
  <c r="K168" i="1" s="1"/>
  <c r="H167" i="1" a="1"/>
  <c r="H167" i="1" s="1"/>
  <c r="K167" i="1" s="1"/>
  <c r="H166" i="1" a="1"/>
  <c r="H166" i="1" s="1"/>
  <c r="K166" i="1" s="1"/>
  <c r="H165" i="1" a="1"/>
  <c r="H165" i="1" s="1"/>
  <c r="K165" i="1" s="1"/>
  <c r="H164" i="1" a="1"/>
  <c r="H164" i="1" s="1"/>
  <c r="K164" i="1" s="1"/>
  <c r="H163" i="1" a="1"/>
  <c r="H163" i="1" s="1"/>
  <c r="K163" i="1" s="1"/>
  <c r="H162" i="1" a="1"/>
  <c r="H162" i="1" s="1"/>
  <c r="K162" i="1" s="1"/>
  <c r="H161" i="1" a="1"/>
  <c r="H161" i="1" s="1"/>
  <c r="K161" i="1" s="1"/>
  <c r="H160" i="1" a="1"/>
  <c r="H160" i="1" s="1"/>
  <c r="K160" i="1" s="1"/>
  <c r="H159" i="1" a="1"/>
  <c r="H159" i="1" s="1"/>
  <c r="K159" i="1" s="1"/>
  <c r="H158" i="1" a="1"/>
  <c r="H158" i="1" s="1"/>
  <c r="K158" i="1" s="1"/>
  <c r="H157" i="1" a="1"/>
  <c r="H157" i="1" s="1"/>
  <c r="K157" i="1" s="1"/>
  <c r="H156" i="1" a="1"/>
  <c r="H156" i="1" s="1"/>
  <c r="K156" i="1" s="1"/>
  <c r="H155" i="1" a="1"/>
  <c r="H155" i="1" s="1"/>
  <c r="K155" i="1" s="1"/>
  <c r="H154" i="1" a="1"/>
  <c r="H154" i="1" s="1"/>
  <c r="K154" i="1" s="1"/>
  <c r="H153" i="1" a="1"/>
  <c r="H153" i="1" s="1"/>
  <c r="K153" i="1" s="1"/>
  <c r="H152" i="1" a="1"/>
  <c r="H152" i="1" s="1"/>
  <c r="K152" i="1" s="1"/>
  <c r="H151" i="1" a="1"/>
  <c r="H151" i="1" s="1"/>
  <c r="K151" i="1" s="1"/>
  <c r="H150" i="1" a="1"/>
  <c r="H150" i="1" s="1"/>
  <c r="K150" i="1" s="1"/>
  <c r="H149" i="1" a="1"/>
  <c r="H149" i="1" s="1"/>
  <c r="K149" i="1" s="1"/>
  <c r="H148" i="1" a="1"/>
  <c r="H148" i="1" s="1"/>
  <c r="K148" i="1" s="1"/>
  <c r="H147" i="1" a="1"/>
  <c r="H147" i="1" s="1"/>
  <c r="K147" i="1" s="1"/>
  <c r="H146" i="1" a="1"/>
  <c r="H146" i="1" s="1"/>
  <c r="K146" i="1" s="1"/>
  <c r="H145" i="1" a="1"/>
  <c r="H145" i="1" s="1"/>
  <c r="K145" i="1" s="1"/>
  <c r="H144" i="1" a="1"/>
  <c r="H144" i="1" s="1"/>
  <c r="K144" i="1" s="1"/>
  <c r="H143" i="1" a="1"/>
  <c r="H143" i="1" s="1"/>
  <c r="K143" i="1" s="1"/>
  <c r="H142" i="1" a="1"/>
  <c r="H142" i="1" s="1"/>
  <c r="K142" i="1" s="1"/>
  <c r="H141" i="1" a="1"/>
  <c r="H141" i="1" s="1"/>
  <c r="K141" i="1" s="1"/>
  <c r="H140" i="1" a="1"/>
  <c r="H140" i="1" s="1"/>
  <c r="K140" i="1" s="1"/>
  <c r="H139" i="1" a="1"/>
  <c r="H139" i="1" s="1"/>
  <c r="K139" i="1" s="1"/>
  <c r="H138" i="1" a="1"/>
  <c r="H138" i="1" s="1"/>
  <c r="K138" i="1" s="1"/>
  <c r="H137" i="1" a="1"/>
  <c r="H137" i="1" s="1"/>
  <c r="K137" i="1" s="1"/>
  <c r="H136" i="1" a="1"/>
  <c r="H136" i="1" s="1"/>
  <c r="K136" i="1" s="1"/>
  <c r="H135" i="1" a="1"/>
  <c r="H135" i="1" s="1"/>
  <c r="K135" i="1" s="1"/>
  <c r="H134" i="1" a="1"/>
  <c r="H134" i="1" s="1"/>
  <c r="K134" i="1" s="1"/>
  <c r="H133" i="1" a="1"/>
  <c r="H133" i="1" s="1"/>
  <c r="K133" i="1" s="1"/>
  <c r="H132" i="1" a="1"/>
  <c r="H132" i="1" s="1"/>
  <c r="K132" i="1" s="1"/>
  <c r="H131" i="1" a="1"/>
  <c r="H131" i="1" s="1"/>
  <c r="K131" i="1" s="1"/>
  <c r="H130" i="1" a="1"/>
  <c r="H130" i="1" s="1"/>
  <c r="K130" i="1" s="1"/>
  <c r="H129" i="1" a="1"/>
  <c r="H129" i="1" s="1"/>
  <c r="K129" i="1" s="1"/>
  <c r="H128" i="1" a="1"/>
  <c r="H128" i="1" s="1"/>
  <c r="K128" i="1" s="1"/>
  <c r="H127" i="1" a="1"/>
  <c r="H127" i="1" s="1"/>
  <c r="K127" i="1" s="1"/>
  <c r="H126" i="1" a="1"/>
  <c r="H126" i="1" s="1"/>
  <c r="K126" i="1" s="1"/>
  <c r="H125" i="1" a="1"/>
  <c r="H125" i="1" s="1"/>
  <c r="K125" i="1" s="1"/>
  <c r="H124" i="1" a="1"/>
  <c r="H124" i="1" s="1"/>
  <c r="K124" i="1" s="1"/>
  <c r="H123" i="1" a="1"/>
  <c r="H123" i="1" s="1"/>
  <c r="K123" i="1" s="1"/>
  <c r="H122" i="1" a="1"/>
  <c r="H122" i="1" s="1"/>
  <c r="K122" i="1" s="1"/>
  <c r="H121" i="1" a="1"/>
  <c r="H121" i="1" s="1"/>
  <c r="K121" i="1" s="1"/>
  <c r="H120" i="1" a="1"/>
  <c r="H120" i="1" s="1"/>
  <c r="K120" i="1" s="1"/>
  <c r="H119" i="1" a="1"/>
  <c r="H119" i="1" s="1"/>
  <c r="K119" i="1" s="1"/>
  <c r="H118" i="1" a="1"/>
  <c r="H118" i="1" s="1"/>
  <c r="K118" i="1" s="1"/>
  <c r="H117" i="1" a="1"/>
  <c r="H117" i="1" s="1"/>
  <c r="K117" i="1" s="1"/>
  <c r="H116" i="1" a="1"/>
  <c r="H116" i="1" s="1"/>
  <c r="K116" i="1" s="1"/>
  <c r="H115" i="1" a="1"/>
  <c r="H115" i="1" s="1"/>
  <c r="K115" i="1" s="1"/>
  <c r="H114" i="1" a="1"/>
  <c r="H114" i="1" s="1"/>
  <c r="K114" i="1" s="1"/>
  <c r="H113" i="1" a="1"/>
  <c r="H113" i="1" s="1"/>
  <c r="K113" i="1" s="1"/>
  <c r="H112" i="1" a="1"/>
  <c r="H112" i="1" s="1"/>
  <c r="K112" i="1" s="1"/>
  <c r="H111" i="1" a="1"/>
  <c r="H111" i="1" s="1"/>
  <c r="K111" i="1" s="1"/>
  <c r="H110" i="1" a="1"/>
  <c r="H110" i="1" s="1"/>
  <c r="K110" i="1" s="1"/>
  <c r="H109" i="1" a="1"/>
  <c r="H109" i="1" s="1"/>
  <c r="K109" i="1" s="1"/>
  <c r="H108" i="1" a="1"/>
  <c r="H108" i="1" s="1"/>
  <c r="K108" i="1" s="1"/>
  <c r="H107" i="1" a="1"/>
  <c r="H107" i="1" s="1"/>
  <c r="K107" i="1" s="1"/>
  <c r="H106" i="1" a="1"/>
  <c r="H106" i="1" s="1"/>
  <c r="K106" i="1" s="1"/>
  <c r="H105" i="1" a="1"/>
  <c r="H105" i="1" s="1"/>
  <c r="K105" i="1" s="1"/>
  <c r="H104" i="1" a="1"/>
  <c r="H104" i="1" s="1"/>
  <c r="K104" i="1" s="1"/>
  <c r="H103" i="1" a="1"/>
  <c r="H103" i="1" s="1"/>
  <c r="K103" i="1" s="1"/>
  <c r="H102" i="1" a="1"/>
  <c r="H102" i="1" s="1"/>
  <c r="K102" i="1" s="1"/>
  <c r="H101" i="1" a="1"/>
  <c r="H101" i="1" s="1"/>
  <c r="K101" i="1" s="1"/>
  <c r="H100" i="1" a="1"/>
  <c r="H100" i="1" s="1"/>
  <c r="K100" i="1" s="1"/>
  <c r="H99" i="1" a="1"/>
  <c r="H99" i="1" s="1"/>
  <c r="K99" i="1" s="1"/>
  <c r="H98" i="1" a="1"/>
  <c r="H98" i="1" s="1"/>
  <c r="K98" i="1" s="1"/>
  <c r="H97" i="1" a="1"/>
  <c r="H97" i="1" s="1"/>
  <c r="K97" i="1" s="1"/>
  <c r="H96" i="1" a="1"/>
  <c r="H96" i="1" s="1"/>
  <c r="K96" i="1" s="1"/>
  <c r="H95" i="1" a="1"/>
  <c r="H95" i="1" s="1"/>
  <c r="K95" i="1" s="1"/>
  <c r="H94" i="1" a="1"/>
  <c r="H94" i="1" s="1"/>
  <c r="K94" i="1" s="1"/>
  <c r="H93" i="1" a="1"/>
  <c r="H93" i="1" s="1"/>
  <c r="K93" i="1" s="1"/>
  <c r="H92" i="1" a="1"/>
  <c r="H92" i="1" s="1"/>
  <c r="K92" i="1" s="1"/>
  <c r="H91" i="1" a="1"/>
  <c r="H91" i="1" s="1"/>
  <c r="K91" i="1" s="1"/>
  <c r="H90" i="1" a="1"/>
  <c r="H90" i="1" s="1"/>
  <c r="K90" i="1" s="1"/>
  <c r="H89" i="1" a="1"/>
  <c r="H89" i="1" s="1"/>
  <c r="K89" i="1" s="1"/>
  <c r="H88" i="1" a="1"/>
  <c r="H88" i="1" s="1"/>
  <c r="K88" i="1" s="1"/>
  <c r="H87" i="1" a="1"/>
  <c r="H87" i="1" s="1"/>
  <c r="K87" i="1" s="1"/>
  <c r="H86" i="1" a="1"/>
  <c r="H86" i="1" s="1"/>
  <c r="K86" i="1" s="1"/>
  <c r="H85" i="1" a="1"/>
  <c r="H85" i="1" s="1"/>
  <c r="K85" i="1" s="1"/>
  <c r="H84" i="1" a="1"/>
  <c r="H84" i="1" s="1"/>
  <c r="K84" i="1" s="1"/>
  <c r="H83" i="1" a="1"/>
  <c r="H83" i="1" s="1"/>
  <c r="K83" i="1" s="1"/>
  <c r="H82" i="1" a="1"/>
  <c r="H82" i="1" s="1"/>
  <c r="K82" i="1" s="1"/>
  <c r="H81" i="1" a="1"/>
  <c r="H81" i="1" s="1"/>
  <c r="K81" i="1" s="1"/>
  <c r="H80" i="1" a="1"/>
  <c r="H80" i="1" s="1"/>
  <c r="K80" i="1" s="1"/>
  <c r="H79" i="1" a="1"/>
  <c r="H79" i="1" s="1"/>
  <c r="K79" i="1" s="1"/>
  <c r="H78" i="1" a="1"/>
  <c r="H78" i="1" s="1"/>
  <c r="K78" i="1" s="1"/>
  <c r="H77" i="1" a="1"/>
  <c r="H77" i="1" s="1"/>
  <c r="K77" i="1" s="1"/>
  <c r="H76" i="1" a="1"/>
  <c r="H76" i="1" s="1"/>
  <c r="K76" i="1" s="1"/>
  <c r="H75" i="1" a="1"/>
  <c r="H75" i="1" s="1"/>
  <c r="K75" i="1" s="1"/>
  <c r="H74" i="1" a="1"/>
  <c r="H74" i="1" s="1"/>
  <c r="K74" i="1" s="1"/>
  <c r="H73" i="1" a="1"/>
  <c r="H73" i="1" s="1"/>
  <c r="K73" i="1" s="1"/>
  <c r="H72" i="1" a="1"/>
  <c r="H72" i="1" s="1"/>
  <c r="K72" i="1" s="1"/>
  <c r="H71" i="1" a="1"/>
  <c r="H71" i="1" s="1"/>
  <c r="K71" i="1" s="1"/>
  <c r="H70" i="1" a="1"/>
  <c r="H70" i="1" s="1"/>
  <c r="K70" i="1" s="1"/>
  <c r="H69" i="1" a="1"/>
  <c r="H69" i="1" s="1"/>
  <c r="K69" i="1" s="1"/>
  <c r="H68" i="1" a="1"/>
  <c r="H68" i="1" s="1"/>
  <c r="K68" i="1" s="1"/>
  <c r="H67" i="1" a="1"/>
  <c r="H67" i="1" s="1"/>
  <c r="K67" i="1" s="1"/>
  <c r="H66" i="1" a="1"/>
  <c r="H66" i="1" s="1"/>
  <c r="K66" i="1" s="1"/>
  <c r="H65" i="1" a="1"/>
  <c r="H65" i="1" s="1"/>
  <c r="K65" i="1" s="1"/>
  <c r="H64" i="1" a="1"/>
  <c r="H64" i="1" s="1"/>
  <c r="K64" i="1" s="1"/>
  <c r="H63" i="1" a="1"/>
  <c r="H63" i="1" s="1"/>
  <c r="K63" i="1" s="1"/>
  <c r="H62" i="1" a="1"/>
  <c r="H62" i="1" s="1"/>
  <c r="K62" i="1" s="1"/>
  <c r="H61" i="1" a="1"/>
  <c r="H61" i="1" s="1"/>
  <c r="K61" i="1" s="1"/>
  <c r="H60" i="1" a="1"/>
  <c r="H60" i="1" s="1"/>
  <c r="K60" i="1" s="1"/>
  <c r="H59" i="1" a="1"/>
  <c r="H59" i="1" s="1"/>
  <c r="K59" i="1" s="1"/>
  <c r="H58" i="1" a="1"/>
  <c r="H58" i="1" s="1"/>
  <c r="K58" i="1" s="1"/>
  <c r="H57" i="1" a="1"/>
  <c r="H57" i="1" s="1"/>
  <c r="K57" i="1" s="1"/>
  <c r="H56" i="1" a="1"/>
  <c r="H56" i="1" s="1"/>
  <c r="K56" i="1" s="1"/>
  <c r="H55" i="1" a="1"/>
  <c r="H55" i="1" s="1"/>
  <c r="K55" i="1" s="1"/>
  <c r="H54" i="1" a="1"/>
  <c r="H54" i="1" s="1"/>
  <c r="K54" i="1" s="1"/>
  <c r="H53" i="1" a="1"/>
  <c r="H53" i="1" s="1"/>
  <c r="K53" i="1" s="1"/>
  <c r="H52" i="1" a="1"/>
  <c r="H52" i="1" s="1"/>
  <c r="K52" i="1" s="1"/>
  <c r="H51" i="1" a="1"/>
  <c r="H51" i="1" s="1"/>
  <c r="K51" i="1" s="1"/>
  <c r="H50" i="1" a="1"/>
  <c r="H50" i="1" s="1"/>
  <c r="K50" i="1" s="1"/>
  <c r="H49" i="1" a="1"/>
  <c r="H49" i="1" s="1"/>
  <c r="K49" i="1" s="1"/>
  <c r="H48" i="1" a="1"/>
  <c r="H48" i="1" s="1"/>
  <c r="K48" i="1" s="1"/>
  <c r="H47" i="1" a="1"/>
  <c r="H47" i="1" s="1"/>
  <c r="K47" i="1" s="1"/>
  <c r="H46" i="1" a="1"/>
  <c r="H46" i="1" s="1"/>
  <c r="K46" i="1" s="1"/>
  <c r="H45" i="1" a="1"/>
  <c r="H45" i="1" s="1"/>
  <c r="K45" i="1" s="1"/>
  <c r="H44" i="1" a="1"/>
  <c r="H44" i="1" s="1"/>
  <c r="K44" i="1" s="1"/>
  <c r="H43" i="1" a="1"/>
  <c r="H43" i="1" s="1"/>
  <c r="K43" i="1" s="1"/>
  <c r="H42" i="1" a="1"/>
  <c r="H42" i="1" s="1"/>
  <c r="K42" i="1" s="1"/>
  <c r="H41" i="1" a="1"/>
  <c r="H41" i="1" s="1"/>
  <c r="K41" i="1" s="1"/>
  <c r="H40" i="1" a="1"/>
  <c r="H40" i="1" s="1"/>
  <c r="K40" i="1" s="1"/>
  <c r="H39" i="1" a="1"/>
  <c r="H39" i="1" s="1"/>
  <c r="K39" i="1" s="1"/>
  <c r="H38" i="1" a="1"/>
  <c r="H38" i="1" s="1"/>
  <c r="K38" i="1" s="1"/>
  <c r="H37" i="1" a="1"/>
  <c r="H37" i="1" s="1"/>
  <c r="K37" i="1" s="1"/>
  <c r="H36" i="1" a="1"/>
  <c r="H36" i="1" s="1"/>
  <c r="K36" i="1" s="1"/>
  <c r="H35" i="1" a="1"/>
  <c r="H35" i="1" s="1"/>
  <c r="K35" i="1" s="1"/>
  <c r="H34" i="1" a="1"/>
  <c r="H34" i="1" s="1"/>
  <c r="K34" i="1" s="1"/>
  <c r="H33" i="1" a="1"/>
  <c r="H33" i="1" s="1"/>
  <c r="K33" i="1" s="1"/>
  <c r="H32" i="1" a="1"/>
  <c r="H32" i="1" s="1"/>
  <c r="K32" i="1" s="1"/>
  <c r="H31" i="1" a="1"/>
  <c r="H31" i="1" s="1"/>
  <c r="K31" i="1" s="1"/>
  <c r="H30" i="1" a="1"/>
  <c r="H30" i="1" s="1"/>
  <c r="K30" i="1" s="1"/>
  <c r="H29" i="1" a="1"/>
  <c r="H29" i="1" s="1"/>
  <c r="K29" i="1" s="1"/>
  <c r="H28" i="1" a="1"/>
  <c r="H28" i="1" s="1"/>
  <c r="K28" i="1" s="1"/>
  <c r="H27" i="1" a="1"/>
  <c r="H27" i="1" s="1"/>
  <c r="K27" i="1" s="1"/>
  <c r="H26" i="1" a="1"/>
  <c r="H26" i="1" s="1"/>
  <c r="K26" i="1" s="1"/>
  <c r="H25" i="1" a="1"/>
  <c r="H25" i="1" s="1"/>
  <c r="K25" i="1" s="1"/>
  <c r="H24" i="1" a="1"/>
  <c r="H24" i="1" s="1"/>
  <c r="K24" i="1" s="1"/>
  <c r="H23" i="1" a="1"/>
  <c r="H23" i="1" s="1"/>
  <c r="K23" i="1" s="1"/>
  <c r="H22" i="1" a="1"/>
  <c r="H22" i="1" s="1"/>
  <c r="K22" i="1" s="1"/>
  <c r="H21" i="1" a="1"/>
  <c r="H21" i="1" s="1"/>
  <c r="K21" i="1" s="1"/>
  <c r="H20" i="1" a="1"/>
  <c r="H20" i="1" s="1"/>
  <c r="K20" i="1" s="1"/>
  <c r="H19" i="1" a="1"/>
  <c r="H19" i="1" s="1"/>
  <c r="K19" i="1" s="1"/>
  <c r="H18" i="1" a="1"/>
  <c r="H18" i="1" s="1"/>
  <c r="K18" i="1" s="1"/>
  <c r="H17" i="1" a="1"/>
  <c r="H17" i="1" s="1"/>
  <c r="K17" i="1" s="1"/>
  <c r="H16" i="1" a="1"/>
  <c r="H16" i="1" s="1"/>
  <c r="K16" i="1" s="1"/>
  <c r="H15" i="1" a="1"/>
  <c r="H15" i="1" s="1"/>
  <c r="K15" i="1" s="1"/>
  <c r="H14" i="1" a="1"/>
  <c r="H14" i="1" s="1"/>
  <c r="K14" i="1" s="1"/>
  <c r="H13" i="1" a="1"/>
  <c r="H13" i="1" s="1"/>
  <c r="K13" i="1" s="1"/>
  <c r="H12" i="1" a="1"/>
  <c r="H12" i="1" s="1"/>
  <c r="K12" i="1" s="1"/>
  <c r="H11" i="1" a="1"/>
  <c r="H11" i="1" s="1"/>
  <c r="K11" i="1" s="1"/>
  <c r="H10" i="1" a="1"/>
  <c r="H10" i="1" s="1"/>
  <c r="K10" i="1" s="1"/>
  <c r="H9" i="1" a="1"/>
  <c r="H9" i="1" s="1"/>
  <c r="K9" i="1" s="1"/>
  <c r="H8" i="1" a="1"/>
  <c r="H8" i="1" s="1"/>
  <c r="K8" i="1" s="1"/>
  <c r="H7" i="1" a="1"/>
  <c r="H7" i="1" s="1"/>
  <c r="K7" i="1" s="1"/>
  <c r="H6" i="1" a="1"/>
  <c r="H6" i="1" s="1"/>
  <c r="K6" i="1" s="1"/>
  <c r="H5" i="1" a="1"/>
  <c r="H5" i="1" s="1"/>
  <c r="K5" i="1" s="1"/>
  <c r="H4" i="1" a="1"/>
  <c r="H4" i="1" s="1"/>
  <c r="K4" i="1" s="1"/>
  <c r="H3" i="1" a="1"/>
  <c r="H3" i="1" s="1"/>
  <c r="K3" i="1" s="1"/>
  <c r="H2" i="1" a="1"/>
  <c r="H2" i="1" s="1"/>
  <c r="K2" i="1" s="1"/>
  <c r="T12" i="12"/>
  <c r="S12" i="12"/>
  <c r="R12" i="12"/>
  <c r="Q12" i="12"/>
  <c r="P12" i="12"/>
  <c r="O12" i="12"/>
  <c r="N12" i="12"/>
  <c r="M12" i="12"/>
  <c r="L12" i="12"/>
  <c r="K12" i="12"/>
  <c r="J12" i="12"/>
  <c r="I12" i="12"/>
  <c r="H12" i="12"/>
  <c r="G12" i="12"/>
  <c r="F12" i="12"/>
  <c r="E12" i="12"/>
  <c r="D12" i="12"/>
  <c r="C12" i="12"/>
  <c r="B12" i="12"/>
  <c r="C3" i="12"/>
  <c r="D3" i="12"/>
  <c r="E3" i="12"/>
  <c r="F3" i="12"/>
  <c r="G3" i="12"/>
  <c r="H3" i="12"/>
  <c r="I3" i="12"/>
  <c r="J3" i="12"/>
  <c r="K3" i="12"/>
  <c r="L3" i="12"/>
  <c r="M3" i="12"/>
  <c r="N3" i="12"/>
  <c r="O3" i="12"/>
  <c r="P3" i="12"/>
  <c r="Q3" i="12"/>
  <c r="R3" i="12"/>
  <c r="S3" i="12"/>
  <c r="T3" i="12"/>
  <c r="C4" i="12"/>
  <c r="D4" i="12"/>
  <c r="E4" i="12"/>
  <c r="F4" i="12"/>
  <c r="G4" i="12"/>
  <c r="H4" i="12"/>
  <c r="I4" i="12"/>
  <c r="J4" i="12"/>
  <c r="K4" i="12"/>
  <c r="L4" i="12"/>
  <c r="M4" i="12"/>
  <c r="N4" i="12"/>
  <c r="O4" i="12"/>
  <c r="P4" i="12"/>
  <c r="Q4" i="12"/>
  <c r="R4" i="12"/>
  <c r="S4" i="12"/>
  <c r="T4" i="12"/>
  <c r="C5" i="12"/>
  <c r="D5" i="12"/>
  <c r="E5" i="12"/>
  <c r="F5" i="12"/>
  <c r="G5" i="12"/>
  <c r="H5" i="12"/>
  <c r="I5" i="12"/>
  <c r="J5" i="12"/>
  <c r="K5" i="12"/>
  <c r="L5" i="12"/>
  <c r="M5" i="12"/>
  <c r="N5" i="12"/>
  <c r="O5" i="12"/>
  <c r="P5" i="12"/>
  <c r="Q5" i="12"/>
  <c r="R5" i="12"/>
  <c r="S5" i="12"/>
  <c r="T5" i="12"/>
  <c r="C6" i="12"/>
  <c r="D6" i="12"/>
  <c r="E6" i="12"/>
  <c r="F6" i="12"/>
  <c r="G6" i="12"/>
  <c r="H6" i="12"/>
  <c r="I6" i="12"/>
  <c r="J6" i="12"/>
  <c r="K6" i="12"/>
  <c r="L6" i="12"/>
  <c r="M6" i="12"/>
  <c r="N6" i="12"/>
  <c r="O6" i="12"/>
  <c r="P6" i="12"/>
  <c r="Q6" i="12"/>
  <c r="R6" i="12"/>
  <c r="S6" i="12"/>
  <c r="T6" i="12"/>
  <c r="C7" i="12"/>
  <c r="D7" i="12"/>
  <c r="E7" i="12"/>
  <c r="F7" i="12"/>
  <c r="G7" i="12"/>
  <c r="H7" i="12"/>
  <c r="I7" i="12"/>
  <c r="J7" i="12"/>
  <c r="K7" i="12"/>
  <c r="L7" i="12"/>
  <c r="M7" i="12"/>
  <c r="N7" i="12"/>
  <c r="O7" i="12"/>
  <c r="P7" i="12"/>
  <c r="Q7" i="12"/>
  <c r="R7" i="12"/>
  <c r="S7" i="12"/>
  <c r="T7" i="12"/>
  <c r="C8" i="12"/>
  <c r="D8" i="12"/>
  <c r="E8" i="12"/>
  <c r="F8" i="12"/>
  <c r="G8" i="12"/>
  <c r="H8" i="12"/>
  <c r="I8" i="12"/>
  <c r="J8" i="12"/>
  <c r="K8" i="12"/>
  <c r="L8" i="12"/>
  <c r="M8" i="12"/>
  <c r="N8" i="12"/>
  <c r="O8" i="12"/>
  <c r="P8" i="12"/>
  <c r="Q8" i="12"/>
  <c r="R8" i="12"/>
  <c r="S8" i="12"/>
  <c r="T8" i="12"/>
  <c r="C9" i="12"/>
  <c r="D9" i="12"/>
  <c r="E9" i="12"/>
  <c r="F9" i="12"/>
  <c r="G9" i="12"/>
  <c r="H9" i="12"/>
  <c r="I9" i="12"/>
  <c r="J9" i="12"/>
  <c r="K9" i="12"/>
  <c r="L9" i="12"/>
  <c r="M9" i="12"/>
  <c r="N9" i="12"/>
  <c r="O9" i="12"/>
  <c r="P9" i="12"/>
  <c r="Q9" i="12"/>
  <c r="R9" i="12"/>
  <c r="S9" i="12"/>
  <c r="T9" i="12"/>
  <c r="C10" i="12"/>
  <c r="D10" i="12"/>
  <c r="E10" i="12"/>
  <c r="F10" i="12"/>
  <c r="G10" i="12"/>
  <c r="H10" i="12"/>
  <c r="I10" i="12"/>
  <c r="J10" i="12"/>
  <c r="K10" i="12"/>
  <c r="L10" i="12"/>
  <c r="M10" i="12"/>
  <c r="N10" i="12"/>
  <c r="O10" i="12"/>
  <c r="P10" i="12"/>
  <c r="Q10" i="12"/>
  <c r="R10" i="12"/>
  <c r="S10" i="12"/>
  <c r="T10" i="12"/>
  <c r="B10" i="12"/>
  <c r="B9" i="12"/>
  <c r="B8" i="12"/>
  <c r="B7" i="12"/>
  <c r="B6" i="12"/>
  <c r="B5" i="12"/>
  <c r="B4" i="12"/>
  <c r="B3" i="12"/>
  <c r="K35" i="9"/>
  <c r="J35" i="9"/>
  <c r="I35" i="9"/>
  <c r="H35" i="9"/>
  <c r="G35" i="9"/>
  <c r="E35" i="9"/>
  <c r="A33" i="9"/>
  <c r="L32" i="9"/>
  <c r="A32" i="9"/>
  <c r="L31" i="9"/>
  <c r="A31" i="9"/>
  <c r="L30" i="9"/>
  <c r="A30" i="9"/>
  <c r="L29" i="9"/>
  <c r="A29" i="9"/>
  <c r="L28" i="9"/>
  <c r="A28" i="9"/>
  <c r="L27" i="9"/>
  <c r="A27" i="9"/>
  <c r="L26" i="9"/>
  <c r="A26" i="9"/>
  <c r="L25" i="9"/>
  <c r="A25" i="9"/>
  <c r="L24" i="9"/>
  <c r="A24" i="9"/>
  <c r="L23" i="9"/>
  <c r="A23" i="9"/>
  <c r="L22" i="9"/>
  <c r="A22" i="9"/>
  <c r="L21" i="9"/>
  <c r="A21" i="9"/>
  <c r="L20" i="9"/>
  <c r="A20" i="9"/>
  <c r="L19" i="9"/>
  <c r="A19" i="9"/>
  <c r="L18" i="9"/>
  <c r="A18" i="9"/>
  <c r="L17" i="9"/>
  <c r="A17" i="9"/>
  <c r="L16" i="9"/>
  <c r="A16" i="9"/>
  <c r="L15" i="9"/>
  <c r="A15" i="9"/>
  <c r="L14" i="9"/>
  <c r="A14" i="9"/>
  <c r="L13" i="9"/>
  <c r="A13" i="9"/>
  <c r="L12" i="9"/>
  <c r="A12" i="9"/>
  <c r="L11" i="9"/>
  <c r="A11" i="9"/>
  <c r="L10" i="9"/>
  <c r="A10" i="9"/>
  <c r="L9" i="9"/>
  <c r="A9" i="9"/>
  <c r="L8" i="9"/>
  <c r="A8" i="9"/>
  <c r="L7" i="9"/>
  <c r="A7" i="9"/>
  <c r="L6" i="9"/>
  <c r="A6" i="9"/>
  <c r="L5" i="9"/>
  <c r="A5" i="9"/>
  <c r="L4" i="9"/>
  <c r="A4" i="9"/>
  <c r="K302" i="7"/>
  <c r="K300" i="7"/>
  <c r="K297" i="7"/>
  <c r="K296" i="7"/>
  <c r="K294" i="7"/>
  <c r="K291" i="7"/>
  <c r="K290" i="7"/>
  <c r="K288" i="7"/>
  <c r="K285" i="7"/>
  <c r="K284" i="7"/>
  <c r="K282" i="7"/>
  <c r="K279" i="7"/>
  <c r="K278" i="7"/>
  <c r="K276" i="7"/>
  <c r="K273" i="7"/>
  <c r="K272" i="7"/>
  <c r="K270" i="7"/>
  <c r="K267" i="7"/>
  <c r="K266" i="7"/>
  <c r="K264" i="7"/>
  <c r="K261" i="7"/>
  <c r="K260" i="7"/>
  <c r="K258" i="7"/>
  <c r="K255" i="7"/>
  <c r="K254" i="7"/>
  <c r="K252" i="7"/>
  <c r="K249" i="7"/>
  <c r="K248" i="7"/>
  <c r="K246" i="7"/>
  <c r="K243" i="7"/>
  <c r="K242" i="7"/>
  <c r="K240" i="7"/>
  <c r="K237" i="7"/>
  <c r="K236" i="7"/>
  <c r="K234" i="7"/>
  <c r="K231" i="7"/>
  <c r="K230" i="7"/>
  <c r="K228" i="7"/>
  <c r="K225" i="7"/>
  <c r="K224" i="7"/>
  <c r="K222" i="7"/>
  <c r="K219" i="7"/>
  <c r="K218" i="7"/>
  <c r="K216" i="7"/>
  <c r="K213" i="7"/>
  <c r="K212" i="7"/>
  <c r="K210" i="7"/>
  <c r="K207" i="7"/>
  <c r="K206" i="7"/>
  <c r="K204" i="7"/>
  <c r="K201" i="7"/>
  <c r="K200" i="7"/>
  <c r="K198" i="7"/>
  <c r="K195" i="7"/>
  <c r="K194" i="7"/>
  <c r="K192" i="7"/>
  <c r="K189" i="7"/>
  <c r="K188" i="7"/>
  <c r="K186" i="7"/>
  <c r="K183" i="7"/>
  <c r="K182" i="7"/>
  <c r="K180" i="7"/>
  <c r="K177" i="7"/>
  <c r="K176" i="7"/>
  <c r="K174" i="7"/>
  <c r="K171" i="7"/>
  <c r="K170" i="7"/>
  <c r="K168" i="7"/>
  <c r="K165" i="7"/>
  <c r="K164" i="7"/>
  <c r="K162" i="7"/>
  <c r="K159" i="7"/>
  <c r="K158" i="7"/>
  <c r="K156" i="7"/>
  <c r="K153" i="7"/>
  <c r="K152" i="7"/>
  <c r="K150" i="7"/>
  <c r="K147" i="7"/>
  <c r="K146" i="7"/>
  <c r="K144" i="7"/>
  <c r="K140" i="7"/>
  <c r="K138" i="7"/>
  <c r="K135" i="7"/>
  <c r="K134" i="7"/>
  <c r="K132" i="7"/>
  <c r="K129" i="7"/>
  <c r="K128" i="7"/>
  <c r="K126" i="7"/>
  <c r="K122" i="7"/>
  <c r="K120" i="7"/>
  <c r="K117" i="7"/>
  <c r="K116" i="7"/>
  <c r="K114" i="7"/>
  <c r="K111" i="7"/>
  <c r="K110" i="7"/>
  <c r="K108" i="7"/>
  <c r="K105" i="7"/>
  <c r="K104" i="7"/>
  <c r="K102" i="7"/>
  <c r="K99" i="7"/>
  <c r="K98" i="7"/>
  <c r="K96" i="7"/>
  <c r="K93" i="7"/>
  <c r="K92" i="7"/>
  <c r="K90" i="7"/>
  <c r="K87" i="7"/>
  <c r="K86" i="7"/>
  <c r="K84" i="7"/>
  <c r="K81" i="7"/>
  <c r="K80" i="7"/>
  <c r="K78" i="7"/>
  <c r="K74" i="7"/>
  <c r="K72" i="7"/>
  <c r="K69" i="7"/>
  <c r="K68" i="7"/>
  <c r="K66" i="7"/>
  <c r="K63" i="7"/>
  <c r="K62" i="7"/>
  <c r="K60" i="7"/>
  <c r="K57" i="7"/>
  <c r="K56" i="7"/>
  <c r="K54" i="7"/>
  <c r="K51" i="7"/>
  <c r="K50" i="7"/>
  <c r="K48" i="7"/>
  <c r="K45" i="7"/>
  <c r="K44" i="7"/>
  <c r="K42" i="7"/>
  <c r="K39" i="7"/>
  <c r="K38" i="7"/>
  <c r="K36" i="7"/>
  <c r="K32" i="7"/>
  <c r="K30" i="7"/>
  <c r="K27" i="7"/>
  <c r="K26" i="7"/>
  <c r="K24" i="7"/>
  <c r="K21" i="7"/>
  <c r="K20" i="7"/>
  <c r="K18" i="7"/>
  <c r="K14" i="7"/>
  <c r="K12" i="7"/>
  <c r="K8" i="7"/>
  <c r="K6" i="7"/>
  <c r="D2" i="7" a="1"/>
  <c r="D2" i="7" s="1"/>
  <c r="B51" i="6"/>
  <c r="B31" i="13" s="1"/>
  <c r="B50" i="6"/>
  <c r="B30" i="13" s="1"/>
  <c r="B49" i="6"/>
  <c r="B29" i="13" s="1"/>
  <c r="B48" i="6"/>
  <c r="B28" i="13" s="1"/>
  <c r="C47" i="6"/>
  <c r="C27" i="13" s="1"/>
  <c r="B47" i="6"/>
  <c r="B27" i="13" s="1"/>
  <c r="L6" i="13"/>
  <c r="J6" i="13"/>
  <c r="H6" i="13"/>
  <c r="F6" i="13"/>
  <c r="O37" i="6"/>
  <c r="M37" i="6"/>
  <c r="G37" i="6"/>
  <c r="E37" i="6"/>
  <c r="O36" i="6"/>
  <c r="M36" i="6"/>
  <c r="G36" i="6"/>
  <c r="E36" i="6"/>
  <c r="O35" i="6"/>
  <c r="M35" i="6"/>
  <c r="G35" i="6"/>
  <c r="E35" i="6"/>
  <c r="O34" i="6"/>
  <c r="M34" i="6"/>
  <c r="G34" i="6"/>
  <c r="E34" i="6"/>
  <c r="O33" i="6"/>
  <c r="M33" i="6"/>
  <c r="G33" i="6"/>
  <c r="E33" i="6"/>
  <c r="O32" i="6"/>
  <c r="M32" i="6"/>
  <c r="G32" i="6"/>
  <c r="E32" i="6"/>
  <c r="O31" i="6"/>
  <c r="M31" i="6"/>
  <c r="G31" i="6"/>
  <c r="E31" i="6"/>
  <c r="O30" i="6"/>
  <c r="M30" i="6"/>
  <c r="G30" i="6"/>
  <c r="E30" i="6"/>
  <c r="O29" i="6"/>
  <c r="M29" i="6"/>
  <c r="G29" i="6"/>
  <c r="E29" i="6"/>
  <c r="O28" i="6"/>
  <c r="M28" i="6"/>
  <c r="G28" i="6"/>
  <c r="O25" i="6"/>
  <c r="M25" i="6"/>
  <c r="G25" i="6"/>
  <c r="E25" i="6"/>
  <c r="O24" i="6"/>
  <c r="M24" i="6"/>
  <c r="G24" i="6"/>
  <c r="E24" i="6"/>
  <c r="O23" i="6"/>
  <c r="M23" i="6"/>
  <c r="G23" i="6"/>
  <c r="E23" i="6"/>
  <c r="O22" i="6"/>
  <c r="M22" i="6"/>
  <c r="G22" i="6"/>
  <c r="E22" i="6"/>
  <c r="O21" i="6"/>
  <c r="M21" i="6"/>
  <c r="G21" i="6"/>
  <c r="E21" i="6"/>
  <c r="O20" i="6"/>
  <c r="M20" i="6"/>
  <c r="G20" i="6"/>
  <c r="E20" i="6"/>
  <c r="O17" i="6"/>
  <c r="G17" i="6"/>
  <c r="E17" i="6"/>
  <c r="O16" i="6"/>
  <c r="G16" i="6"/>
  <c r="E16" i="6"/>
  <c r="O13" i="6"/>
  <c r="G13" i="6"/>
  <c r="E13" i="6"/>
  <c r="O12" i="6"/>
  <c r="G12" i="6"/>
  <c r="E12" i="6"/>
  <c r="O9" i="6"/>
  <c r="O11" i="6" s="1"/>
  <c r="B297" i="3"/>
  <c r="B291" i="7"/>
  <c r="B285" i="7"/>
  <c r="B279" i="7"/>
  <c r="B273" i="3"/>
  <c r="B267" i="7"/>
  <c r="B261" i="7"/>
  <c r="B255" i="7"/>
  <c r="B249" i="3"/>
  <c r="B243" i="7"/>
  <c r="B237" i="7"/>
  <c r="B231" i="7"/>
  <c r="B225" i="3"/>
  <c r="B219" i="7"/>
  <c r="B213" i="7"/>
  <c r="BS3" i="3"/>
  <c r="BC3" i="3"/>
  <c r="B297" i="2"/>
  <c r="B291" i="2"/>
  <c r="B285" i="2"/>
  <c r="B279" i="2"/>
  <c r="B273" i="2"/>
  <c r="B267" i="2"/>
  <c r="B261" i="2"/>
  <c r="B255" i="2"/>
  <c r="B249" i="2"/>
  <c r="B243" i="2"/>
  <c r="B237" i="2"/>
  <c r="B231" i="2"/>
  <c r="B225" i="2"/>
  <c r="B219" i="2"/>
  <c r="B213" i="2"/>
  <c r="B207" i="2"/>
  <c r="B201" i="2"/>
  <c r="B195" i="2"/>
  <c r="BB3" i="2" a="1"/>
  <c r="BB3" i="2" s="1"/>
  <c r="O38" i="6" l="1"/>
  <c r="O14" i="6"/>
  <c r="O18" i="6" s="1"/>
  <c r="M9" i="6"/>
  <c r="M11" i="6" s="1"/>
  <c r="M14" i="6" s="1"/>
  <c r="M18" i="6" s="1"/>
  <c r="G9" i="6"/>
  <c r="G11" i="6" s="1"/>
  <c r="G14" i="6" s="1"/>
  <c r="G18" i="6" s="1"/>
  <c r="G5" i="13" s="1"/>
  <c r="E14" i="6"/>
  <c r="E18" i="6" s="1"/>
  <c r="E5" i="13" s="1"/>
  <c r="G38" i="6"/>
  <c r="I5" i="13"/>
  <c r="H19" i="13" s="1"/>
  <c r="D29" i="13" s="1"/>
  <c r="D50" i="6"/>
  <c r="M38" i="6"/>
  <c r="D51" i="6"/>
  <c r="M147" i="7"/>
  <c r="M147" i="3"/>
  <c r="M51" i="7"/>
  <c r="M51" i="3"/>
  <c r="M189" i="7"/>
  <c r="M189" i="3"/>
  <c r="M93" i="7"/>
  <c r="M93" i="3"/>
  <c r="M123" i="7"/>
  <c r="M123" i="3"/>
  <c r="M27" i="7"/>
  <c r="M27" i="3"/>
  <c r="M153" i="7"/>
  <c r="M153" i="3"/>
  <c r="M57" i="3"/>
  <c r="M57" i="7"/>
  <c r="M183" i="7"/>
  <c r="M183" i="3"/>
  <c r="M87" i="7"/>
  <c r="M87" i="3"/>
  <c r="M117" i="3"/>
  <c r="M117" i="7"/>
  <c r="M177" i="7"/>
  <c r="M177" i="3"/>
  <c r="M81" i="7"/>
  <c r="M81" i="3"/>
  <c r="M111" i="7"/>
  <c r="M111" i="3"/>
  <c r="M15" i="7"/>
  <c r="M15" i="3"/>
  <c r="B195" i="7"/>
  <c r="M195" i="3"/>
  <c r="M195" i="7"/>
  <c r="M201" i="7"/>
  <c r="M201" i="3"/>
  <c r="M21" i="3"/>
  <c r="M21" i="7"/>
  <c r="M45" i="7"/>
  <c r="M45" i="3"/>
  <c r="M171" i="7"/>
  <c r="M171" i="3"/>
  <c r="M75" i="7"/>
  <c r="M75" i="3"/>
  <c r="M10" i="3"/>
  <c r="M10" i="7"/>
  <c r="M105" i="3"/>
  <c r="M105" i="7"/>
  <c r="M135" i="7"/>
  <c r="M135" i="3"/>
  <c r="M39" i="7"/>
  <c r="M39" i="3"/>
  <c r="M165" i="7"/>
  <c r="M165" i="3"/>
  <c r="M69" i="7"/>
  <c r="M69" i="3"/>
  <c r="M99" i="7"/>
  <c r="M99" i="3"/>
  <c r="M129" i="7"/>
  <c r="M129" i="3"/>
  <c r="M33" i="7"/>
  <c r="M33" i="3"/>
  <c r="M159" i="3"/>
  <c r="M159" i="7"/>
  <c r="M63" i="7"/>
  <c r="M63" i="3"/>
  <c r="M174" i="7"/>
  <c r="M174" i="3"/>
  <c r="M142" i="7"/>
  <c r="M142" i="3"/>
  <c r="M110" i="7"/>
  <c r="M110" i="3"/>
  <c r="M78" i="7"/>
  <c r="M78" i="3"/>
  <c r="M46" i="7"/>
  <c r="M46" i="3"/>
  <c r="M14" i="7"/>
  <c r="M14" i="3"/>
  <c r="M173" i="7"/>
  <c r="M173" i="3"/>
  <c r="M141" i="7"/>
  <c r="M141" i="3"/>
  <c r="M109" i="7"/>
  <c r="M109" i="3"/>
  <c r="M77" i="7"/>
  <c r="M77" i="3"/>
  <c r="M13" i="7"/>
  <c r="M13" i="3"/>
  <c r="M172" i="7"/>
  <c r="M172" i="3"/>
  <c r="M140" i="7"/>
  <c r="M140" i="3"/>
  <c r="M108" i="7"/>
  <c r="M108" i="3"/>
  <c r="M76" i="7"/>
  <c r="M76" i="3"/>
  <c r="M44" i="7"/>
  <c r="M44" i="3"/>
  <c r="M12" i="7"/>
  <c r="M12" i="3"/>
  <c r="M139" i="7"/>
  <c r="M139" i="3"/>
  <c r="M107" i="7"/>
  <c r="M107" i="3"/>
  <c r="M43" i="7"/>
  <c r="M43" i="3"/>
  <c r="M11" i="7"/>
  <c r="M11" i="3"/>
  <c r="M199" i="3"/>
  <c r="M199" i="7"/>
  <c r="M206" i="7"/>
  <c r="M206" i="3"/>
  <c r="M205" i="7"/>
  <c r="M205" i="3"/>
  <c r="M212" i="7"/>
  <c r="M212" i="3"/>
  <c r="M170" i="3"/>
  <c r="M170" i="7"/>
  <c r="M138" i="3"/>
  <c r="M138" i="7"/>
  <c r="M106" i="3"/>
  <c r="M106" i="7"/>
  <c r="M74" i="3"/>
  <c r="M74" i="7"/>
  <c r="M42" i="3"/>
  <c r="M42" i="7"/>
  <c r="M169" i="3"/>
  <c r="M169" i="7"/>
  <c r="M137" i="3"/>
  <c r="M137" i="7"/>
  <c r="M73" i="3"/>
  <c r="M73" i="7"/>
  <c r="M41" i="3"/>
  <c r="M41" i="7"/>
  <c r="M9" i="3"/>
  <c r="M9" i="7"/>
  <c r="M168" i="3"/>
  <c r="M168" i="7"/>
  <c r="M136" i="3"/>
  <c r="M136" i="7"/>
  <c r="M104" i="3"/>
  <c r="M104" i="7"/>
  <c r="M72" i="3"/>
  <c r="M72" i="7"/>
  <c r="M40" i="3"/>
  <c r="M40" i="7"/>
  <c r="M8" i="3"/>
  <c r="M8" i="7"/>
  <c r="M167" i="3"/>
  <c r="M167" i="7"/>
  <c r="M103" i="3"/>
  <c r="M103" i="7"/>
  <c r="M71" i="3"/>
  <c r="M71" i="7"/>
  <c r="M7" i="3"/>
  <c r="M7" i="7"/>
  <c r="M208" i="3"/>
  <c r="M208" i="7"/>
  <c r="M166" i="7"/>
  <c r="M166" i="3"/>
  <c r="M134" i="7"/>
  <c r="M134" i="3"/>
  <c r="M102" i="7"/>
  <c r="M102" i="3"/>
  <c r="M70" i="7"/>
  <c r="M70" i="3"/>
  <c r="M38" i="7"/>
  <c r="M38" i="3"/>
  <c r="M6" i="7"/>
  <c r="M6" i="3"/>
  <c r="M133" i="7"/>
  <c r="M133" i="3"/>
  <c r="M101" i="7"/>
  <c r="M101" i="3"/>
  <c r="M37" i="7"/>
  <c r="M37" i="3"/>
  <c r="M5" i="7"/>
  <c r="M5" i="3"/>
  <c r="M164" i="7"/>
  <c r="M164" i="3"/>
  <c r="M132" i="7"/>
  <c r="M132" i="3"/>
  <c r="M100" i="7"/>
  <c r="M100" i="3"/>
  <c r="M68" i="7"/>
  <c r="M68" i="3"/>
  <c r="M36" i="7"/>
  <c r="M36" i="3"/>
  <c r="M4" i="7"/>
  <c r="M4" i="3"/>
  <c r="M163" i="7"/>
  <c r="M163" i="3"/>
  <c r="M131" i="7"/>
  <c r="M131" i="3"/>
  <c r="M67" i="7"/>
  <c r="M67" i="3"/>
  <c r="M35" i="7"/>
  <c r="M35" i="3"/>
  <c r="M194" i="3"/>
  <c r="M194" i="7"/>
  <c r="M162" i="3"/>
  <c r="M162" i="7"/>
  <c r="M130" i="3"/>
  <c r="M130" i="7"/>
  <c r="M98" i="3"/>
  <c r="M98" i="7"/>
  <c r="M66" i="3"/>
  <c r="M66" i="7"/>
  <c r="M34" i="3"/>
  <c r="M34" i="7"/>
  <c r="M193" i="3"/>
  <c r="M193" i="7"/>
  <c r="M161" i="3"/>
  <c r="M161" i="7"/>
  <c r="M97" i="3"/>
  <c r="M97" i="7"/>
  <c r="M65" i="3"/>
  <c r="M65" i="7"/>
  <c r="M192" i="3"/>
  <c r="M192" i="7"/>
  <c r="M160" i="3"/>
  <c r="M160" i="7"/>
  <c r="M128" i="3"/>
  <c r="M128" i="7"/>
  <c r="M96" i="3"/>
  <c r="M96" i="7"/>
  <c r="M64" i="3"/>
  <c r="M64" i="7"/>
  <c r="M32" i="3"/>
  <c r="M32" i="7"/>
  <c r="M191" i="3"/>
  <c r="M191" i="7"/>
  <c r="M127" i="3"/>
  <c r="M127" i="7"/>
  <c r="M95" i="3"/>
  <c r="M95" i="7"/>
  <c r="M31" i="3"/>
  <c r="M31" i="7"/>
  <c r="M196" i="7"/>
  <c r="M196" i="3"/>
  <c r="M203" i="7"/>
  <c r="M203" i="3"/>
  <c r="M211" i="7"/>
  <c r="M211" i="3"/>
  <c r="M190" i="7"/>
  <c r="M190" i="3"/>
  <c r="M158" i="7"/>
  <c r="M158" i="3"/>
  <c r="M126" i="7"/>
  <c r="M126" i="3"/>
  <c r="M94" i="7"/>
  <c r="M94" i="3"/>
  <c r="M62" i="7"/>
  <c r="M62" i="3"/>
  <c r="M30" i="7"/>
  <c r="M30" i="3"/>
  <c r="M157" i="7"/>
  <c r="M157" i="3"/>
  <c r="M125" i="7"/>
  <c r="M125" i="3"/>
  <c r="M61" i="7"/>
  <c r="M61" i="3"/>
  <c r="M29" i="7"/>
  <c r="M29" i="3"/>
  <c r="M188" i="7"/>
  <c r="M188" i="3"/>
  <c r="M156" i="7"/>
  <c r="M156" i="3"/>
  <c r="M124" i="7"/>
  <c r="M124" i="3"/>
  <c r="M92" i="7"/>
  <c r="M92" i="3"/>
  <c r="M60" i="7"/>
  <c r="M60" i="3"/>
  <c r="M28" i="7"/>
  <c r="M28" i="3"/>
  <c r="M187" i="7"/>
  <c r="M187" i="3"/>
  <c r="M155" i="7"/>
  <c r="M155" i="3"/>
  <c r="M91" i="7"/>
  <c r="M91" i="3"/>
  <c r="M59" i="7"/>
  <c r="M59" i="3"/>
  <c r="M200" i="3"/>
  <c r="M200" i="7"/>
  <c r="M207" i="3"/>
  <c r="M207" i="7"/>
  <c r="M186" i="3"/>
  <c r="M186" i="7"/>
  <c r="M154" i="3"/>
  <c r="M154" i="7"/>
  <c r="M122" i="3"/>
  <c r="M122" i="7"/>
  <c r="M90" i="3"/>
  <c r="M90" i="7"/>
  <c r="M58" i="3"/>
  <c r="M58" i="7"/>
  <c r="M26" i="3"/>
  <c r="M26" i="7"/>
  <c r="M185" i="3"/>
  <c r="M185" i="7"/>
  <c r="M121" i="3"/>
  <c r="M121" i="7"/>
  <c r="M89" i="3"/>
  <c r="M89" i="7"/>
  <c r="M25" i="3"/>
  <c r="M25" i="7"/>
  <c r="M184" i="3"/>
  <c r="M184" i="7"/>
  <c r="M152" i="3"/>
  <c r="M152" i="7"/>
  <c r="M120" i="3"/>
  <c r="M120" i="7"/>
  <c r="M88" i="3"/>
  <c r="M88" i="7"/>
  <c r="M56" i="3"/>
  <c r="M56" i="7"/>
  <c r="M24" i="3"/>
  <c r="M24" i="7"/>
  <c r="M151" i="3"/>
  <c r="M151" i="7"/>
  <c r="M119" i="3"/>
  <c r="M119" i="7"/>
  <c r="M55" i="3"/>
  <c r="M55" i="7"/>
  <c r="M23" i="3"/>
  <c r="M23" i="7"/>
  <c r="M198" i="7"/>
  <c r="M198" i="3"/>
  <c r="M204" i="7"/>
  <c r="M204" i="3"/>
  <c r="M209" i="3"/>
  <c r="M209" i="7"/>
  <c r="M182" i="7"/>
  <c r="M182" i="3"/>
  <c r="M150" i="7"/>
  <c r="M150" i="3"/>
  <c r="M118" i="7"/>
  <c r="M118" i="3"/>
  <c r="M86" i="7"/>
  <c r="M86" i="3"/>
  <c r="M54" i="7"/>
  <c r="M54" i="3"/>
  <c r="M22" i="7"/>
  <c r="M22" i="3"/>
  <c r="M181" i="7"/>
  <c r="M181" i="3"/>
  <c r="M149" i="7"/>
  <c r="M149" i="3"/>
  <c r="M85" i="7"/>
  <c r="M85" i="3"/>
  <c r="M53" i="7"/>
  <c r="M53" i="3"/>
  <c r="M180" i="7"/>
  <c r="M180" i="3"/>
  <c r="M148" i="7"/>
  <c r="M148" i="3"/>
  <c r="M116" i="7"/>
  <c r="M116" i="3"/>
  <c r="M84" i="7"/>
  <c r="M84" i="3"/>
  <c r="M52" i="7"/>
  <c r="M52" i="3"/>
  <c r="M20" i="7"/>
  <c r="M20" i="3"/>
  <c r="M179" i="7"/>
  <c r="M179" i="3"/>
  <c r="M115" i="7"/>
  <c r="M115" i="3"/>
  <c r="M83" i="7"/>
  <c r="M83" i="3"/>
  <c r="M19" i="7"/>
  <c r="M19" i="3"/>
  <c r="M197" i="7"/>
  <c r="M197" i="3"/>
  <c r="M178" i="3"/>
  <c r="M178" i="7"/>
  <c r="M146" i="3"/>
  <c r="M146" i="7"/>
  <c r="M114" i="3"/>
  <c r="M114" i="7"/>
  <c r="M82" i="3"/>
  <c r="M82" i="7"/>
  <c r="M50" i="3"/>
  <c r="M50" i="7"/>
  <c r="M18" i="3"/>
  <c r="M18" i="7"/>
  <c r="M145" i="3"/>
  <c r="M145" i="7"/>
  <c r="M113" i="3"/>
  <c r="M113" i="7"/>
  <c r="M49" i="3"/>
  <c r="M49" i="7"/>
  <c r="M17" i="3"/>
  <c r="M17" i="7"/>
  <c r="M176" i="3"/>
  <c r="M176" i="7"/>
  <c r="M144" i="3"/>
  <c r="M144" i="7"/>
  <c r="M112" i="3"/>
  <c r="M112" i="7"/>
  <c r="M80" i="3"/>
  <c r="M80" i="7"/>
  <c r="M48" i="3"/>
  <c r="M48" i="7"/>
  <c r="M16" i="3"/>
  <c r="M16" i="7"/>
  <c r="M175" i="3"/>
  <c r="M175" i="7"/>
  <c r="M143" i="3"/>
  <c r="M143" i="7"/>
  <c r="M79" i="3"/>
  <c r="M79" i="7"/>
  <c r="M47" i="3"/>
  <c r="M47" i="7"/>
  <c r="M202" i="3"/>
  <c r="M202" i="7"/>
  <c r="I66" i="1"/>
  <c r="J66" i="1"/>
  <c r="I114" i="1"/>
  <c r="J114" i="1"/>
  <c r="I178" i="1"/>
  <c r="J178" i="1"/>
  <c r="I258" i="1"/>
  <c r="J258" i="1"/>
  <c r="I314" i="1"/>
  <c r="J314" i="1"/>
  <c r="I370" i="1"/>
  <c r="J370" i="1"/>
  <c r="I426" i="1"/>
  <c r="J426" i="1"/>
  <c r="I43" i="1"/>
  <c r="J43" i="1"/>
  <c r="I99" i="1"/>
  <c r="J99" i="1"/>
  <c r="I131" i="1"/>
  <c r="J131" i="1"/>
  <c r="I147" i="1"/>
  <c r="J147" i="1"/>
  <c r="I171" i="1"/>
  <c r="J171" i="1"/>
  <c r="I187" i="1"/>
  <c r="J187" i="1"/>
  <c r="I203" i="1"/>
  <c r="J203" i="1"/>
  <c r="I227" i="1"/>
  <c r="J227" i="1"/>
  <c r="I243" i="1"/>
  <c r="J243" i="1"/>
  <c r="I259" i="1"/>
  <c r="J259" i="1"/>
  <c r="I275" i="1"/>
  <c r="J275" i="1"/>
  <c r="I283" i="1"/>
  <c r="J283" i="1"/>
  <c r="I291" i="1"/>
  <c r="J291" i="1"/>
  <c r="I299" i="1"/>
  <c r="J299" i="1"/>
  <c r="I307" i="1"/>
  <c r="J307" i="1"/>
  <c r="I315" i="1"/>
  <c r="J315" i="1"/>
  <c r="I323" i="1"/>
  <c r="J323" i="1"/>
  <c r="I331" i="1"/>
  <c r="J331" i="1"/>
  <c r="I339" i="1"/>
  <c r="J339" i="1"/>
  <c r="I347" i="1"/>
  <c r="J347" i="1"/>
  <c r="I355" i="1"/>
  <c r="J355" i="1"/>
  <c r="I363" i="1"/>
  <c r="J363" i="1"/>
  <c r="I371" i="1"/>
  <c r="J371" i="1"/>
  <c r="I379" i="1"/>
  <c r="J379" i="1"/>
  <c r="I387" i="1"/>
  <c r="J387" i="1"/>
  <c r="I395" i="1"/>
  <c r="J395" i="1"/>
  <c r="I403" i="1"/>
  <c r="J403" i="1"/>
  <c r="I411" i="1"/>
  <c r="J411" i="1"/>
  <c r="I419" i="1"/>
  <c r="J419" i="1"/>
  <c r="I427" i="1"/>
  <c r="J427" i="1"/>
  <c r="I435" i="1"/>
  <c r="J435" i="1"/>
  <c r="I444" i="1"/>
  <c r="J444" i="1"/>
  <c r="I452" i="1"/>
  <c r="J452" i="1"/>
  <c r="I462" i="1"/>
  <c r="J462" i="1"/>
  <c r="I18" i="1"/>
  <c r="J18" i="1"/>
  <c r="I74" i="1"/>
  <c r="J74" i="1"/>
  <c r="I130" i="1"/>
  <c r="J130" i="1"/>
  <c r="I154" i="1"/>
  <c r="J154" i="1"/>
  <c r="I210" i="1"/>
  <c r="J210" i="1"/>
  <c r="I266" i="1"/>
  <c r="J266" i="1"/>
  <c r="I298" i="1"/>
  <c r="J298" i="1"/>
  <c r="I338" i="1"/>
  <c r="J338" i="1"/>
  <c r="I394" i="1"/>
  <c r="J394" i="1"/>
  <c r="I434" i="1"/>
  <c r="J434" i="1"/>
  <c r="I3" i="1"/>
  <c r="J3" i="1"/>
  <c r="I51" i="1"/>
  <c r="J51" i="1"/>
  <c r="I91" i="1"/>
  <c r="J91" i="1"/>
  <c r="I123" i="1"/>
  <c r="J123" i="1"/>
  <c r="I139" i="1"/>
  <c r="J139" i="1"/>
  <c r="I155" i="1"/>
  <c r="J155" i="1"/>
  <c r="I163" i="1"/>
  <c r="J163" i="1"/>
  <c r="I179" i="1"/>
  <c r="J179" i="1"/>
  <c r="I195" i="1"/>
  <c r="J195" i="1"/>
  <c r="I211" i="1"/>
  <c r="J211" i="1"/>
  <c r="I219" i="1"/>
  <c r="J219" i="1"/>
  <c r="I235" i="1"/>
  <c r="J235" i="1"/>
  <c r="I251" i="1"/>
  <c r="J251" i="1"/>
  <c r="I267" i="1"/>
  <c r="J267" i="1"/>
  <c r="I4" i="1"/>
  <c r="J4" i="1"/>
  <c r="I12" i="1"/>
  <c r="J12" i="1"/>
  <c r="I20" i="1"/>
  <c r="J20" i="1"/>
  <c r="I28" i="1"/>
  <c r="J28" i="1"/>
  <c r="I36" i="1"/>
  <c r="J36" i="1"/>
  <c r="I44" i="1"/>
  <c r="J44" i="1"/>
  <c r="I52" i="1"/>
  <c r="J52" i="1"/>
  <c r="I60" i="1"/>
  <c r="J60" i="1"/>
  <c r="I68" i="1"/>
  <c r="J68" i="1"/>
  <c r="I76" i="1"/>
  <c r="J76" i="1"/>
  <c r="I84" i="1"/>
  <c r="J84" i="1"/>
  <c r="I92" i="1"/>
  <c r="J92" i="1"/>
  <c r="I100" i="1"/>
  <c r="J100" i="1"/>
  <c r="I108" i="1"/>
  <c r="J108" i="1"/>
  <c r="I116" i="1"/>
  <c r="J116" i="1"/>
  <c r="I124" i="1"/>
  <c r="J124" i="1"/>
  <c r="I132" i="1"/>
  <c r="J132" i="1"/>
  <c r="I140" i="1"/>
  <c r="J140" i="1"/>
  <c r="I148" i="1"/>
  <c r="J148" i="1"/>
  <c r="I156" i="1"/>
  <c r="J156" i="1"/>
  <c r="I164" i="1"/>
  <c r="J164" i="1"/>
  <c r="I172" i="1"/>
  <c r="J172" i="1"/>
  <c r="I180" i="1"/>
  <c r="J180" i="1"/>
  <c r="I188" i="1"/>
  <c r="J188" i="1"/>
  <c r="I196" i="1"/>
  <c r="J196" i="1"/>
  <c r="I204" i="1"/>
  <c r="J204" i="1"/>
  <c r="I212" i="1"/>
  <c r="J212" i="1"/>
  <c r="I220" i="1"/>
  <c r="J220" i="1"/>
  <c r="I228" i="1"/>
  <c r="J228" i="1"/>
  <c r="I236" i="1"/>
  <c r="J236" i="1"/>
  <c r="I244" i="1"/>
  <c r="J244" i="1"/>
  <c r="I252" i="1"/>
  <c r="J252" i="1"/>
  <c r="I260" i="1"/>
  <c r="J260" i="1"/>
  <c r="I268" i="1"/>
  <c r="J268" i="1"/>
  <c r="I276" i="1"/>
  <c r="J276" i="1"/>
  <c r="I284" i="1"/>
  <c r="J284" i="1"/>
  <c r="I292" i="1"/>
  <c r="J292" i="1"/>
  <c r="I300" i="1"/>
  <c r="J300" i="1"/>
  <c r="I308" i="1"/>
  <c r="J308" i="1"/>
  <c r="I316" i="1"/>
  <c r="J316" i="1"/>
  <c r="I324" i="1"/>
  <c r="J324" i="1"/>
  <c r="I332" i="1"/>
  <c r="J332" i="1"/>
  <c r="I340" i="1"/>
  <c r="J340" i="1"/>
  <c r="I348" i="1"/>
  <c r="J348" i="1"/>
  <c r="I356" i="1"/>
  <c r="J356" i="1"/>
  <c r="I364" i="1"/>
  <c r="J364" i="1"/>
  <c r="I372" i="1"/>
  <c r="J372" i="1"/>
  <c r="I380" i="1"/>
  <c r="J380" i="1"/>
  <c r="I388" i="1"/>
  <c r="J388" i="1"/>
  <c r="I396" i="1"/>
  <c r="J396" i="1"/>
  <c r="I404" i="1"/>
  <c r="J404" i="1"/>
  <c r="I412" i="1"/>
  <c r="J412" i="1"/>
  <c r="I420" i="1"/>
  <c r="J420" i="1"/>
  <c r="I428" i="1"/>
  <c r="J428" i="1"/>
  <c r="I436" i="1"/>
  <c r="J436" i="1"/>
  <c r="I445" i="1"/>
  <c r="J445" i="1"/>
  <c r="I453" i="1"/>
  <c r="J453" i="1"/>
  <c r="I464" i="1"/>
  <c r="J464" i="1"/>
  <c r="I50" i="1"/>
  <c r="J50" i="1"/>
  <c r="I122" i="1"/>
  <c r="J122" i="1"/>
  <c r="I170" i="1"/>
  <c r="J170" i="1"/>
  <c r="I242" i="1"/>
  <c r="J242" i="1"/>
  <c r="I322" i="1"/>
  <c r="J322" i="1"/>
  <c r="I362" i="1"/>
  <c r="J362" i="1"/>
  <c r="I442" i="1"/>
  <c r="J442" i="1"/>
  <c r="I35" i="1"/>
  <c r="J35" i="1"/>
  <c r="I83" i="1"/>
  <c r="J83" i="1"/>
  <c r="I5" i="1"/>
  <c r="J5" i="1"/>
  <c r="I29" i="1"/>
  <c r="J29" i="1"/>
  <c r="I45" i="1"/>
  <c r="J45" i="1"/>
  <c r="I61" i="1"/>
  <c r="J61" i="1"/>
  <c r="I77" i="1"/>
  <c r="J77" i="1"/>
  <c r="I101" i="1"/>
  <c r="J101" i="1"/>
  <c r="I117" i="1"/>
  <c r="J117" i="1"/>
  <c r="I133" i="1"/>
  <c r="J133" i="1"/>
  <c r="I149" i="1"/>
  <c r="J149" i="1"/>
  <c r="I157" i="1"/>
  <c r="J157" i="1"/>
  <c r="I165" i="1"/>
  <c r="J165" i="1"/>
  <c r="I173" i="1"/>
  <c r="J173" i="1"/>
  <c r="I181" i="1"/>
  <c r="J181" i="1"/>
  <c r="I189" i="1"/>
  <c r="J189" i="1"/>
  <c r="I197" i="1"/>
  <c r="J197" i="1"/>
  <c r="I205" i="1"/>
  <c r="J205" i="1"/>
  <c r="I213" i="1"/>
  <c r="J213" i="1"/>
  <c r="I221" i="1"/>
  <c r="J221" i="1"/>
  <c r="I229" i="1"/>
  <c r="J229" i="1"/>
  <c r="I237" i="1"/>
  <c r="J237" i="1"/>
  <c r="I245" i="1"/>
  <c r="J245" i="1"/>
  <c r="I253" i="1"/>
  <c r="J253" i="1"/>
  <c r="I261" i="1"/>
  <c r="J261" i="1"/>
  <c r="I269" i="1"/>
  <c r="J269" i="1"/>
  <c r="I277" i="1"/>
  <c r="J277" i="1"/>
  <c r="I285" i="1"/>
  <c r="J285" i="1"/>
  <c r="I293" i="1"/>
  <c r="J293" i="1"/>
  <c r="I301" i="1"/>
  <c r="J301" i="1"/>
  <c r="I309" i="1"/>
  <c r="J309" i="1"/>
  <c r="I317" i="1"/>
  <c r="J317" i="1"/>
  <c r="I325" i="1"/>
  <c r="J325" i="1"/>
  <c r="I333" i="1"/>
  <c r="J333" i="1"/>
  <c r="I341" i="1"/>
  <c r="J341" i="1"/>
  <c r="I349" i="1"/>
  <c r="J349" i="1"/>
  <c r="I357" i="1"/>
  <c r="J357" i="1"/>
  <c r="I365" i="1"/>
  <c r="J365" i="1"/>
  <c r="I373" i="1"/>
  <c r="J373" i="1"/>
  <c r="I381" i="1"/>
  <c r="J381" i="1"/>
  <c r="I389" i="1"/>
  <c r="J389" i="1"/>
  <c r="I397" i="1"/>
  <c r="J397" i="1"/>
  <c r="I405" i="1"/>
  <c r="J405" i="1"/>
  <c r="I413" i="1"/>
  <c r="J413" i="1"/>
  <c r="I421" i="1"/>
  <c r="J421" i="1"/>
  <c r="I429" i="1"/>
  <c r="J429" i="1"/>
  <c r="I437" i="1"/>
  <c r="J437" i="1"/>
  <c r="I446" i="1"/>
  <c r="J446" i="1"/>
  <c r="I455" i="1"/>
  <c r="J455" i="1"/>
  <c r="I465" i="1"/>
  <c r="J465" i="1"/>
  <c r="I10" i="1"/>
  <c r="J10" i="1"/>
  <c r="I34" i="1"/>
  <c r="J34" i="1"/>
  <c r="I90" i="1"/>
  <c r="J90" i="1"/>
  <c r="I138" i="1"/>
  <c r="J138" i="1"/>
  <c r="I202" i="1"/>
  <c r="J202" i="1"/>
  <c r="I234" i="1"/>
  <c r="J234" i="1"/>
  <c r="I290" i="1"/>
  <c r="J290" i="1"/>
  <c r="I330" i="1"/>
  <c r="J330" i="1"/>
  <c r="I386" i="1"/>
  <c r="J386" i="1"/>
  <c r="I410" i="1"/>
  <c r="J410" i="1"/>
  <c r="I451" i="1"/>
  <c r="J451" i="1"/>
  <c r="I11" i="1"/>
  <c r="J11" i="1"/>
  <c r="I67" i="1"/>
  <c r="J67" i="1"/>
  <c r="I107" i="1"/>
  <c r="J107" i="1"/>
  <c r="I13" i="1"/>
  <c r="J13" i="1"/>
  <c r="I21" i="1"/>
  <c r="J21" i="1"/>
  <c r="I37" i="1"/>
  <c r="J37" i="1"/>
  <c r="I53" i="1"/>
  <c r="J53" i="1"/>
  <c r="I69" i="1"/>
  <c r="J69" i="1"/>
  <c r="I85" i="1"/>
  <c r="J85" i="1"/>
  <c r="I93" i="1"/>
  <c r="J93" i="1"/>
  <c r="I109" i="1"/>
  <c r="J109" i="1"/>
  <c r="I125" i="1"/>
  <c r="J125" i="1"/>
  <c r="I141" i="1"/>
  <c r="J141" i="1"/>
  <c r="I6" i="1"/>
  <c r="J6" i="1"/>
  <c r="I14" i="1"/>
  <c r="J14" i="1"/>
  <c r="I22" i="1"/>
  <c r="J22" i="1"/>
  <c r="I30" i="1"/>
  <c r="J30" i="1"/>
  <c r="I38" i="1"/>
  <c r="J38" i="1"/>
  <c r="I46" i="1"/>
  <c r="J46" i="1"/>
  <c r="I54" i="1"/>
  <c r="J54" i="1"/>
  <c r="I62" i="1"/>
  <c r="J62" i="1"/>
  <c r="I70" i="1"/>
  <c r="J70" i="1"/>
  <c r="I78" i="1"/>
  <c r="J78" i="1"/>
  <c r="I86" i="1"/>
  <c r="J86" i="1"/>
  <c r="I94" i="1"/>
  <c r="J94" i="1"/>
  <c r="I102" i="1"/>
  <c r="J102" i="1"/>
  <c r="I110" i="1"/>
  <c r="J110" i="1"/>
  <c r="I118" i="1"/>
  <c r="J118" i="1"/>
  <c r="I126" i="1"/>
  <c r="J126" i="1"/>
  <c r="I134" i="1"/>
  <c r="J134" i="1"/>
  <c r="I142" i="1"/>
  <c r="J142" i="1"/>
  <c r="I150" i="1"/>
  <c r="J150" i="1"/>
  <c r="I158" i="1"/>
  <c r="J158" i="1"/>
  <c r="I166" i="1"/>
  <c r="J166" i="1"/>
  <c r="I174" i="1"/>
  <c r="J174" i="1"/>
  <c r="I182" i="1"/>
  <c r="J182" i="1"/>
  <c r="I190" i="1"/>
  <c r="J190" i="1"/>
  <c r="I198" i="1"/>
  <c r="J198" i="1"/>
  <c r="I206" i="1"/>
  <c r="J206" i="1"/>
  <c r="I214" i="1"/>
  <c r="J214" i="1"/>
  <c r="I222" i="1"/>
  <c r="J222" i="1"/>
  <c r="I230" i="1"/>
  <c r="J230" i="1"/>
  <c r="I238" i="1"/>
  <c r="J238" i="1"/>
  <c r="I246" i="1"/>
  <c r="J246" i="1"/>
  <c r="I254" i="1"/>
  <c r="J254" i="1"/>
  <c r="I262" i="1"/>
  <c r="J262" i="1"/>
  <c r="I270" i="1"/>
  <c r="J270" i="1"/>
  <c r="I278" i="1"/>
  <c r="J278" i="1"/>
  <c r="I286" i="1"/>
  <c r="J286" i="1"/>
  <c r="I294" i="1"/>
  <c r="J294" i="1"/>
  <c r="I302" i="1"/>
  <c r="J302" i="1"/>
  <c r="I310" i="1"/>
  <c r="J310" i="1"/>
  <c r="I318" i="1"/>
  <c r="J318" i="1"/>
  <c r="I326" i="1"/>
  <c r="J326" i="1"/>
  <c r="I334" i="1"/>
  <c r="J334" i="1"/>
  <c r="I342" i="1"/>
  <c r="J342" i="1"/>
  <c r="I350" i="1"/>
  <c r="J350" i="1"/>
  <c r="I358" i="1"/>
  <c r="J358" i="1"/>
  <c r="I366" i="1"/>
  <c r="J366" i="1"/>
  <c r="I374" i="1"/>
  <c r="J374" i="1"/>
  <c r="I382" i="1"/>
  <c r="J382" i="1"/>
  <c r="I390" i="1"/>
  <c r="J390" i="1"/>
  <c r="I398" i="1"/>
  <c r="J398" i="1"/>
  <c r="I406" i="1"/>
  <c r="J406" i="1"/>
  <c r="I414" i="1"/>
  <c r="J414" i="1"/>
  <c r="I422" i="1"/>
  <c r="J422" i="1"/>
  <c r="I430" i="1"/>
  <c r="J430" i="1"/>
  <c r="I438" i="1"/>
  <c r="J438" i="1"/>
  <c r="I447" i="1"/>
  <c r="J447" i="1"/>
  <c r="I456" i="1"/>
  <c r="J456" i="1"/>
  <c r="I466" i="1"/>
  <c r="J466" i="1"/>
  <c r="I58" i="1"/>
  <c r="J58" i="1"/>
  <c r="I106" i="1"/>
  <c r="J106" i="1"/>
  <c r="I186" i="1"/>
  <c r="J186" i="1"/>
  <c r="I250" i="1"/>
  <c r="J250" i="1"/>
  <c r="I306" i="1"/>
  <c r="J306" i="1"/>
  <c r="I378" i="1"/>
  <c r="J378" i="1"/>
  <c r="I418" i="1"/>
  <c r="J418" i="1"/>
  <c r="I27" i="1"/>
  <c r="J27" i="1"/>
  <c r="I75" i="1"/>
  <c r="J75" i="1"/>
  <c r="I7" i="1"/>
  <c r="J7" i="1"/>
  <c r="I31" i="1"/>
  <c r="J31" i="1"/>
  <c r="I47" i="1"/>
  <c r="J47" i="1"/>
  <c r="I63" i="1"/>
  <c r="J63" i="1"/>
  <c r="I87" i="1"/>
  <c r="J87" i="1"/>
  <c r="I103" i="1"/>
  <c r="J103" i="1"/>
  <c r="I119" i="1"/>
  <c r="J119" i="1"/>
  <c r="I135" i="1"/>
  <c r="J135" i="1"/>
  <c r="I151" i="1"/>
  <c r="J151" i="1"/>
  <c r="I159" i="1"/>
  <c r="J159" i="1"/>
  <c r="I167" i="1"/>
  <c r="J167" i="1"/>
  <c r="I175" i="1"/>
  <c r="J175" i="1"/>
  <c r="I183" i="1"/>
  <c r="J183" i="1"/>
  <c r="I191" i="1"/>
  <c r="J191" i="1"/>
  <c r="I199" i="1"/>
  <c r="J199" i="1"/>
  <c r="I207" i="1"/>
  <c r="J207" i="1"/>
  <c r="I215" i="1"/>
  <c r="J215" i="1"/>
  <c r="I223" i="1"/>
  <c r="J223" i="1"/>
  <c r="I231" i="1"/>
  <c r="J231" i="1"/>
  <c r="I239" i="1"/>
  <c r="J239" i="1"/>
  <c r="I247" i="1"/>
  <c r="J247" i="1"/>
  <c r="I255" i="1"/>
  <c r="J255" i="1"/>
  <c r="I263" i="1"/>
  <c r="J263" i="1"/>
  <c r="I271" i="1"/>
  <c r="J271" i="1"/>
  <c r="I279" i="1"/>
  <c r="J279" i="1"/>
  <c r="I287" i="1"/>
  <c r="J287" i="1"/>
  <c r="I295" i="1"/>
  <c r="J295" i="1"/>
  <c r="I303" i="1"/>
  <c r="J303" i="1"/>
  <c r="I311" i="1"/>
  <c r="J311" i="1"/>
  <c r="I319" i="1"/>
  <c r="J319" i="1"/>
  <c r="I327" i="1"/>
  <c r="J327" i="1"/>
  <c r="I335" i="1"/>
  <c r="J335" i="1"/>
  <c r="I343" i="1"/>
  <c r="J343" i="1"/>
  <c r="I351" i="1"/>
  <c r="J351" i="1"/>
  <c r="I359" i="1"/>
  <c r="J359" i="1"/>
  <c r="I367" i="1"/>
  <c r="J367" i="1"/>
  <c r="I375" i="1"/>
  <c r="J375" i="1"/>
  <c r="I383" i="1"/>
  <c r="J383" i="1"/>
  <c r="I391" i="1"/>
  <c r="J391" i="1"/>
  <c r="I399" i="1"/>
  <c r="J399" i="1"/>
  <c r="I407" i="1"/>
  <c r="J407" i="1"/>
  <c r="I415" i="1"/>
  <c r="J415" i="1"/>
  <c r="I423" i="1"/>
  <c r="J423" i="1"/>
  <c r="I431" i="1"/>
  <c r="J431" i="1"/>
  <c r="I439" i="1"/>
  <c r="J439" i="1"/>
  <c r="I448" i="1"/>
  <c r="J448" i="1"/>
  <c r="I457" i="1"/>
  <c r="J457" i="1"/>
  <c r="I467" i="1"/>
  <c r="J467" i="1"/>
  <c r="I2" i="1"/>
  <c r="J2" i="1"/>
  <c r="I26" i="1"/>
  <c r="J26" i="1"/>
  <c r="I82" i="1"/>
  <c r="J82" i="1"/>
  <c r="I146" i="1"/>
  <c r="J146" i="1"/>
  <c r="I194" i="1"/>
  <c r="J194" i="1"/>
  <c r="I226" i="1"/>
  <c r="J226" i="1"/>
  <c r="I274" i="1"/>
  <c r="J274" i="1"/>
  <c r="I346" i="1"/>
  <c r="J346" i="1"/>
  <c r="I461" i="1"/>
  <c r="J461" i="1"/>
  <c r="I19" i="1"/>
  <c r="J19" i="1"/>
  <c r="I59" i="1"/>
  <c r="J59" i="1"/>
  <c r="I115" i="1"/>
  <c r="J115" i="1"/>
  <c r="I15" i="1"/>
  <c r="J15" i="1"/>
  <c r="I23" i="1"/>
  <c r="J23" i="1"/>
  <c r="I39" i="1"/>
  <c r="J39" i="1"/>
  <c r="I55" i="1"/>
  <c r="J55" i="1"/>
  <c r="I71" i="1"/>
  <c r="J71" i="1"/>
  <c r="I79" i="1"/>
  <c r="J79" i="1"/>
  <c r="I95" i="1"/>
  <c r="J95" i="1"/>
  <c r="I111" i="1"/>
  <c r="J111" i="1"/>
  <c r="I127" i="1"/>
  <c r="J127" i="1"/>
  <c r="I143" i="1"/>
  <c r="J143" i="1"/>
  <c r="I8" i="1"/>
  <c r="J8" i="1"/>
  <c r="I16" i="1"/>
  <c r="J16" i="1"/>
  <c r="I24" i="1"/>
  <c r="J24" i="1"/>
  <c r="I32" i="1"/>
  <c r="J32" i="1"/>
  <c r="I40" i="1"/>
  <c r="J40" i="1"/>
  <c r="I48" i="1"/>
  <c r="J48" i="1"/>
  <c r="I56" i="1"/>
  <c r="J56" i="1"/>
  <c r="I64" i="1"/>
  <c r="J64" i="1"/>
  <c r="I72" i="1"/>
  <c r="J72" i="1"/>
  <c r="I80" i="1"/>
  <c r="J80" i="1"/>
  <c r="I88" i="1"/>
  <c r="J88" i="1"/>
  <c r="I96" i="1"/>
  <c r="J96" i="1"/>
  <c r="I104" i="1"/>
  <c r="J104" i="1"/>
  <c r="I112" i="1"/>
  <c r="J112" i="1"/>
  <c r="I120" i="1"/>
  <c r="J120" i="1"/>
  <c r="I128" i="1"/>
  <c r="J128" i="1"/>
  <c r="I136" i="1"/>
  <c r="J136" i="1"/>
  <c r="I144" i="1"/>
  <c r="J144" i="1"/>
  <c r="I152" i="1"/>
  <c r="J152" i="1"/>
  <c r="I160" i="1"/>
  <c r="J160" i="1"/>
  <c r="I168" i="1"/>
  <c r="J168" i="1"/>
  <c r="I176" i="1"/>
  <c r="J176" i="1"/>
  <c r="I184" i="1"/>
  <c r="J184" i="1"/>
  <c r="I192" i="1"/>
  <c r="J192" i="1"/>
  <c r="I200" i="1"/>
  <c r="J200" i="1"/>
  <c r="I208" i="1"/>
  <c r="J208" i="1"/>
  <c r="I216" i="1"/>
  <c r="J216" i="1"/>
  <c r="I224" i="1"/>
  <c r="J224" i="1"/>
  <c r="I232" i="1"/>
  <c r="J232" i="1"/>
  <c r="I240" i="1"/>
  <c r="J240" i="1"/>
  <c r="I248" i="1"/>
  <c r="J248" i="1"/>
  <c r="I256" i="1"/>
  <c r="J256" i="1"/>
  <c r="I264" i="1"/>
  <c r="J264" i="1"/>
  <c r="I272" i="1"/>
  <c r="J272" i="1"/>
  <c r="I280" i="1"/>
  <c r="J280" i="1"/>
  <c r="I288" i="1"/>
  <c r="J288" i="1"/>
  <c r="I296" i="1"/>
  <c r="J296" i="1"/>
  <c r="I304" i="1"/>
  <c r="J304" i="1"/>
  <c r="I312" i="1"/>
  <c r="J312" i="1"/>
  <c r="I320" i="1"/>
  <c r="J320" i="1"/>
  <c r="I328" i="1"/>
  <c r="J328" i="1"/>
  <c r="I336" i="1"/>
  <c r="J336" i="1"/>
  <c r="I344" i="1"/>
  <c r="J344" i="1"/>
  <c r="I352" i="1"/>
  <c r="J352" i="1"/>
  <c r="I360" i="1"/>
  <c r="J360" i="1"/>
  <c r="I368" i="1"/>
  <c r="J368" i="1"/>
  <c r="I376" i="1"/>
  <c r="J376" i="1"/>
  <c r="I384" i="1"/>
  <c r="J384" i="1"/>
  <c r="I392" i="1"/>
  <c r="J392" i="1"/>
  <c r="I400" i="1"/>
  <c r="J400" i="1"/>
  <c r="I408" i="1"/>
  <c r="J408" i="1"/>
  <c r="I416" i="1"/>
  <c r="J416" i="1"/>
  <c r="I424" i="1"/>
  <c r="J424" i="1"/>
  <c r="I432" i="1"/>
  <c r="J432" i="1"/>
  <c r="I440" i="1"/>
  <c r="J440" i="1"/>
  <c r="I449" i="1"/>
  <c r="J449" i="1"/>
  <c r="I458" i="1"/>
  <c r="J458" i="1"/>
  <c r="I468" i="1"/>
  <c r="J468" i="1"/>
  <c r="I42" i="1"/>
  <c r="J42" i="1"/>
  <c r="I98" i="1"/>
  <c r="J98" i="1"/>
  <c r="I162" i="1"/>
  <c r="J162" i="1"/>
  <c r="I218" i="1"/>
  <c r="J218" i="1"/>
  <c r="I282" i="1"/>
  <c r="J282" i="1"/>
  <c r="I354" i="1"/>
  <c r="J354" i="1"/>
  <c r="I402" i="1"/>
  <c r="J402" i="1"/>
  <c r="I470" i="1"/>
  <c r="J470" i="1"/>
  <c r="I9" i="1"/>
  <c r="J9" i="1"/>
  <c r="I17" i="1"/>
  <c r="J17" i="1"/>
  <c r="I25" i="1"/>
  <c r="J25" i="1"/>
  <c r="I33" i="1"/>
  <c r="J33" i="1"/>
  <c r="I41" i="1"/>
  <c r="J41" i="1"/>
  <c r="I49" i="1"/>
  <c r="J49" i="1"/>
  <c r="I57" i="1"/>
  <c r="J57" i="1"/>
  <c r="I65" i="1"/>
  <c r="J65" i="1"/>
  <c r="I73" i="1"/>
  <c r="J73" i="1"/>
  <c r="I81" i="1"/>
  <c r="J81" i="1"/>
  <c r="I89" i="1"/>
  <c r="J89" i="1"/>
  <c r="I97" i="1"/>
  <c r="J97" i="1"/>
  <c r="I105" i="1"/>
  <c r="J105" i="1"/>
  <c r="I113" i="1"/>
  <c r="J113" i="1"/>
  <c r="I121" i="1"/>
  <c r="J121" i="1"/>
  <c r="I129" i="1"/>
  <c r="J129" i="1"/>
  <c r="I137" i="1"/>
  <c r="J137" i="1"/>
  <c r="I145" i="1"/>
  <c r="J145" i="1"/>
  <c r="I153" i="1"/>
  <c r="J153" i="1"/>
  <c r="I161" i="1"/>
  <c r="J161" i="1"/>
  <c r="I169" i="1"/>
  <c r="J169" i="1"/>
  <c r="I177" i="1"/>
  <c r="J177" i="1"/>
  <c r="I185" i="1"/>
  <c r="J185" i="1"/>
  <c r="I193" i="1"/>
  <c r="J193" i="1"/>
  <c r="I201" i="1"/>
  <c r="J201" i="1"/>
  <c r="I209" i="1"/>
  <c r="J209" i="1"/>
  <c r="I217" i="1"/>
  <c r="J217" i="1"/>
  <c r="I225" i="1"/>
  <c r="J225" i="1"/>
  <c r="I233" i="1"/>
  <c r="J233" i="1"/>
  <c r="I241" i="1"/>
  <c r="J241" i="1"/>
  <c r="I249" i="1"/>
  <c r="J249" i="1"/>
  <c r="I257" i="1"/>
  <c r="J257" i="1"/>
  <c r="I265" i="1"/>
  <c r="J265" i="1"/>
  <c r="I273" i="1"/>
  <c r="J273" i="1"/>
  <c r="I281" i="1"/>
  <c r="J281" i="1"/>
  <c r="I289" i="1"/>
  <c r="J289" i="1"/>
  <c r="I297" i="1"/>
  <c r="J297" i="1"/>
  <c r="I305" i="1"/>
  <c r="J305" i="1"/>
  <c r="I313" i="1"/>
  <c r="J313" i="1"/>
  <c r="I321" i="1"/>
  <c r="J321" i="1"/>
  <c r="I329" i="1"/>
  <c r="J329" i="1"/>
  <c r="I337" i="1"/>
  <c r="J337" i="1"/>
  <c r="I345" i="1"/>
  <c r="J345" i="1"/>
  <c r="I353" i="1"/>
  <c r="J353" i="1"/>
  <c r="I361" i="1"/>
  <c r="J361" i="1"/>
  <c r="I369" i="1"/>
  <c r="J369" i="1"/>
  <c r="I377" i="1"/>
  <c r="J377" i="1"/>
  <c r="I385" i="1"/>
  <c r="J385" i="1"/>
  <c r="I393" i="1"/>
  <c r="J393" i="1"/>
  <c r="I401" i="1"/>
  <c r="J401" i="1"/>
  <c r="I409" i="1"/>
  <c r="J409" i="1"/>
  <c r="I417" i="1"/>
  <c r="J417" i="1"/>
  <c r="I425" i="1"/>
  <c r="J425" i="1"/>
  <c r="I433" i="1"/>
  <c r="J433" i="1"/>
  <c r="I441" i="1"/>
  <c r="J441" i="1"/>
  <c r="I450" i="1"/>
  <c r="J450" i="1"/>
  <c r="I459" i="1"/>
  <c r="J459" i="1"/>
  <c r="I469" i="1"/>
  <c r="J469" i="1"/>
  <c r="J17" i="13"/>
  <c r="L17" i="13"/>
  <c r="N18" i="13"/>
  <c r="N19" i="13"/>
  <c r="N20" i="13"/>
  <c r="N17" i="13"/>
  <c r="F20" i="13"/>
  <c r="E28" i="13" s="1"/>
  <c r="F17" i="13"/>
  <c r="F18" i="13"/>
  <c r="F19" i="13"/>
  <c r="D28" i="13" s="1"/>
  <c r="H17" i="13"/>
  <c r="G26" i="6"/>
  <c r="K5" i="13"/>
  <c r="J18" i="13" s="1"/>
  <c r="D48" i="6"/>
  <c r="D49" i="6"/>
  <c r="F128" i="2"/>
  <c r="F128" i="7" s="1"/>
  <c r="F195" i="2"/>
  <c r="G196" i="2"/>
  <c r="H197" i="2"/>
  <c r="I198" i="2"/>
  <c r="J199" i="2"/>
  <c r="E202" i="2"/>
  <c r="F203" i="2"/>
  <c r="G204" i="2"/>
  <c r="H205" i="2"/>
  <c r="I206" i="2"/>
  <c r="J207" i="2"/>
  <c r="E210" i="2"/>
  <c r="F211" i="2"/>
  <c r="G212" i="2"/>
  <c r="H213" i="2"/>
  <c r="I214" i="2"/>
  <c r="J215" i="2"/>
  <c r="E218" i="2"/>
  <c r="F219" i="2"/>
  <c r="G220" i="2"/>
  <c r="H221" i="2"/>
  <c r="I222" i="2"/>
  <c r="J223" i="2"/>
  <c r="E226" i="2"/>
  <c r="F227" i="2"/>
  <c r="G228" i="2"/>
  <c r="H229" i="2"/>
  <c r="I230" i="2"/>
  <c r="J231" i="2"/>
  <c r="E234" i="2"/>
  <c r="F235" i="2"/>
  <c r="G236" i="2"/>
  <c r="G195" i="2"/>
  <c r="H196" i="2"/>
  <c r="I197" i="2"/>
  <c r="J198" i="2"/>
  <c r="E201" i="2"/>
  <c r="F202" i="2"/>
  <c r="G203" i="2"/>
  <c r="H204" i="2"/>
  <c r="I205" i="2"/>
  <c r="J206" i="2"/>
  <c r="E209" i="2"/>
  <c r="F210" i="2"/>
  <c r="G211" i="2"/>
  <c r="H212" i="2"/>
  <c r="I213" i="2"/>
  <c r="J214" i="2"/>
  <c r="E217" i="2"/>
  <c r="F218" i="2"/>
  <c r="G219" i="2"/>
  <c r="H220" i="2"/>
  <c r="I221" i="2"/>
  <c r="J222" i="2"/>
  <c r="E225" i="2"/>
  <c r="F226" i="2"/>
  <c r="G227" i="2"/>
  <c r="H228" i="2"/>
  <c r="I229" i="2"/>
  <c r="J230" i="2"/>
  <c r="E233" i="2"/>
  <c r="F234" i="2"/>
  <c r="G235" i="2"/>
  <c r="H236" i="2"/>
  <c r="H195" i="2"/>
  <c r="I196" i="2"/>
  <c r="J197" i="2"/>
  <c r="E200" i="2"/>
  <c r="F201" i="2"/>
  <c r="G202" i="2"/>
  <c r="H203" i="2"/>
  <c r="I204" i="2"/>
  <c r="J205" i="2"/>
  <c r="E208" i="2"/>
  <c r="F209" i="2"/>
  <c r="G210" i="2"/>
  <c r="H211" i="2"/>
  <c r="I212" i="2"/>
  <c r="J213" i="2"/>
  <c r="E216" i="2"/>
  <c r="F217" i="2"/>
  <c r="G218" i="2"/>
  <c r="H219" i="2"/>
  <c r="I220" i="2"/>
  <c r="J221" i="2"/>
  <c r="E224" i="2"/>
  <c r="F225" i="2"/>
  <c r="G226" i="2"/>
  <c r="H227" i="2"/>
  <c r="I228" i="2"/>
  <c r="J229" i="2"/>
  <c r="E232" i="2"/>
  <c r="F233" i="2"/>
  <c r="G234" i="2"/>
  <c r="H235" i="2"/>
  <c r="I195" i="2"/>
  <c r="J196" i="2"/>
  <c r="E199" i="2"/>
  <c r="F200" i="2"/>
  <c r="G201" i="2"/>
  <c r="H202" i="2"/>
  <c r="I203" i="2"/>
  <c r="J204" i="2"/>
  <c r="E207" i="2"/>
  <c r="F208" i="2"/>
  <c r="G209" i="2"/>
  <c r="H210" i="2"/>
  <c r="I211" i="2"/>
  <c r="J212" i="2"/>
  <c r="E215" i="2"/>
  <c r="F216" i="2"/>
  <c r="G217" i="2"/>
  <c r="H218" i="2"/>
  <c r="I219" i="2"/>
  <c r="J220" i="2"/>
  <c r="E223" i="2"/>
  <c r="F224" i="2"/>
  <c r="G225" i="2"/>
  <c r="H226" i="2"/>
  <c r="I227" i="2"/>
  <c r="J228" i="2"/>
  <c r="E231" i="2"/>
  <c r="F232" i="2"/>
  <c r="G233" i="2"/>
  <c r="H234" i="2"/>
  <c r="I235" i="2"/>
  <c r="J195" i="2"/>
  <c r="E198" i="2"/>
  <c r="F199" i="2"/>
  <c r="G200" i="2"/>
  <c r="H201" i="2"/>
  <c r="I202" i="2"/>
  <c r="J203" i="2"/>
  <c r="E206" i="2"/>
  <c r="F207" i="2"/>
  <c r="G208" i="2"/>
  <c r="H209" i="2"/>
  <c r="I210" i="2"/>
  <c r="J211" i="2"/>
  <c r="E214" i="2"/>
  <c r="F215" i="2"/>
  <c r="G216" i="2"/>
  <c r="H217" i="2"/>
  <c r="I218" i="2"/>
  <c r="J219" i="2"/>
  <c r="E222" i="2"/>
  <c r="F223" i="2"/>
  <c r="G224" i="2"/>
  <c r="H225" i="2"/>
  <c r="I226" i="2"/>
  <c r="J227" i="2"/>
  <c r="E230" i="2"/>
  <c r="F231" i="2"/>
  <c r="G232" i="2"/>
  <c r="H233" i="2"/>
  <c r="I234" i="2"/>
  <c r="J235" i="2"/>
  <c r="E196" i="2"/>
  <c r="F197" i="2"/>
  <c r="G198" i="2"/>
  <c r="H199" i="2"/>
  <c r="I200" i="2"/>
  <c r="J201" i="2"/>
  <c r="E204" i="2"/>
  <c r="F205" i="2"/>
  <c r="G206" i="2"/>
  <c r="H207" i="2"/>
  <c r="I208" i="2"/>
  <c r="J209" i="2"/>
  <c r="E212" i="2"/>
  <c r="F213" i="2"/>
  <c r="G214" i="2"/>
  <c r="H215" i="2"/>
  <c r="I216" i="2"/>
  <c r="J217" i="2"/>
  <c r="E220" i="2"/>
  <c r="F221" i="2"/>
  <c r="G222" i="2"/>
  <c r="H223" i="2"/>
  <c r="I224" i="2"/>
  <c r="J225" i="2"/>
  <c r="E228" i="2"/>
  <c r="F229" i="2"/>
  <c r="G230" i="2"/>
  <c r="H231" i="2"/>
  <c r="I232" i="2"/>
  <c r="J233" i="2"/>
  <c r="E236" i="2"/>
  <c r="F196" i="2"/>
  <c r="J200" i="2"/>
  <c r="G205" i="2"/>
  <c r="H214" i="2"/>
  <c r="E219" i="2"/>
  <c r="I223" i="2"/>
  <c r="F228" i="2"/>
  <c r="J232" i="2"/>
  <c r="J236" i="2"/>
  <c r="E239" i="2"/>
  <c r="F240" i="2"/>
  <c r="G241" i="2"/>
  <c r="H242" i="2"/>
  <c r="I243" i="2"/>
  <c r="J244" i="2"/>
  <c r="E247" i="2"/>
  <c r="F248" i="2"/>
  <c r="G249" i="2"/>
  <c r="H250" i="2"/>
  <c r="I251" i="2"/>
  <c r="J252" i="2"/>
  <c r="E255" i="2"/>
  <c r="F256" i="2"/>
  <c r="G257" i="2"/>
  <c r="H258" i="2"/>
  <c r="I259" i="2"/>
  <c r="J260" i="2"/>
  <c r="E263" i="2"/>
  <c r="F264" i="2"/>
  <c r="G265" i="2"/>
  <c r="H266" i="2"/>
  <c r="I267" i="2"/>
  <c r="J268" i="2"/>
  <c r="E271" i="2"/>
  <c r="F272" i="2"/>
  <c r="G273" i="2"/>
  <c r="H274" i="2"/>
  <c r="I275" i="2"/>
  <c r="J276" i="2"/>
  <c r="E279" i="2"/>
  <c r="F280" i="2"/>
  <c r="G281" i="2"/>
  <c r="H282" i="2"/>
  <c r="I283" i="2"/>
  <c r="J284" i="2"/>
  <c r="E287" i="2"/>
  <c r="F288" i="2"/>
  <c r="G289" i="2"/>
  <c r="H290" i="2"/>
  <c r="I291" i="2"/>
  <c r="J292" i="2"/>
  <c r="E295" i="2"/>
  <c r="F296" i="2"/>
  <c r="G297" i="2"/>
  <c r="H298" i="2"/>
  <c r="I299" i="2"/>
  <c r="J300" i="2"/>
  <c r="E197" i="2"/>
  <c r="I201" i="2"/>
  <c r="F206" i="2"/>
  <c r="J210" i="2"/>
  <c r="G215" i="2"/>
  <c r="H224" i="2"/>
  <c r="E229" i="2"/>
  <c r="I233" i="2"/>
  <c r="E238" i="2"/>
  <c r="F239" i="2"/>
  <c r="G240" i="2"/>
  <c r="H241" i="2"/>
  <c r="I242" i="2"/>
  <c r="J243" i="2"/>
  <c r="E246" i="2"/>
  <c r="F247" i="2"/>
  <c r="G248" i="2"/>
  <c r="H249" i="2"/>
  <c r="I250" i="2"/>
  <c r="J251" i="2"/>
  <c r="E254" i="2"/>
  <c r="F255" i="2"/>
  <c r="G256" i="2"/>
  <c r="H257" i="2"/>
  <c r="I258" i="2"/>
  <c r="J259" i="2"/>
  <c r="E262" i="2"/>
  <c r="F263" i="2"/>
  <c r="G264" i="2"/>
  <c r="H265" i="2"/>
  <c r="I266" i="2"/>
  <c r="J267" i="2"/>
  <c r="E270" i="2"/>
  <c r="F271" i="2"/>
  <c r="G272" i="2"/>
  <c r="H273" i="2"/>
  <c r="I274" i="2"/>
  <c r="J275" i="2"/>
  <c r="E278" i="2"/>
  <c r="F279" i="2"/>
  <c r="G280" i="2"/>
  <c r="H281" i="2"/>
  <c r="I282" i="2"/>
  <c r="J283" i="2"/>
  <c r="E286" i="2"/>
  <c r="F287" i="2"/>
  <c r="G288" i="2"/>
  <c r="H289" i="2"/>
  <c r="I290" i="2"/>
  <c r="J291" i="2"/>
  <c r="E294" i="2"/>
  <c r="F295" i="2"/>
  <c r="G296" i="2"/>
  <c r="H297" i="2"/>
  <c r="I298" i="2"/>
  <c r="J299" i="2"/>
  <c r="E302" i="2"/>
  <c r="G197" i="2"/>
  <c r="H206" i="2"/>
  <c r="E211" i="2"/>
  <c r="I215" i="2"/>
  <c r="F220" i="2"/>
  <c r="J224" i="2"/>
  <c r="G229" i="2"/>
  <c r="E237" i="2"/>
  <c r="F238" i="2"/>
  <c r="G239" i="2"/>
  <c r="H240" i="2"/>
  <c r="I241" i="2"/>
  <c r="J242" i="2"/>
  <c r="E245" i="2"/>
  <c r="F246" i="2"/>
  <c r="G247" i="2"/>
  <c r="H248" i="2"/>
  <c r="I249" i="2"/>
  <c r="J250" i="2"/>
  <c r="E253" i="2"/>
  <c r="F254" i="2"/>
  <c r="G255" i="2"/>
  <c r="H256" i="2"/>
  <c r="I257" i="2"/>
  <c r="J258" i="2"/>
  <c r="E261" i="2"/>
  <c r="F262" i="2"/>
  <c r="G263" i="2"/>
  <c r="H264" i="2"/>
  <c r="I265" i="2"/>
  <c r="J266" i="2"/>
  <c r="E269" i="2"/>
  <c r="F270" i="2"/>
  <c r="G271" i="2"/>
  <c r="H272" i="2"/>
  <c r="I273" i="2"/>
  <c r="J274" i="2"/>
  <c r="E277" i="2"/>
  <c r="F278" i="2"/>
  <c r="G279" i="2"/>
  <c r="H280" i="2"/>
  <c r="I281" i="2"/>
  <c r="J282" i="2"/>
  <c r="E285" i="2"/>
  <c r="F286" i="2"/>
  <c r="G287" i="2"/>
  <c r="H288" i="2"/>
  <c r="I289" i="2"/>
  <c r="J290" i="2"/>
  <c r="E293" i="2"/>
  <c r="F294" i="2"/>
  <c r="G295" i="2"/>
  <c r="H296" i="2"/>
  <c r="I297" i="2"/>
  <c r="J298" i="2"/>
  <c r="E301" i="2"/>
  <c r="F302" i="2"/>
  <c r="F198" i="2"/>
  <c r="J202" i="2"/>
  <c r="G207" i="2"/>
  <c r="H216" i="2"/>
  <c r="E221" i="2"/>
  <c r="I225" i="2"/>
  <c r="F230" i="2"/>
  <c r="J234" i="2"/>
  <c r="F237" i="2"/>
  <c r="G238" i="2"/>
  <c r="H239" i="2"/>
  <c r="I240" i="2"/>
  <c r="J241" i="2"/>
  <c r="E244" i="2"/>
  <c r="F245" i="2"/>
  <c r="G246" i="2"/>
  <c r="H247" i="2"/>
  <c r="I248" i="2"/>
  <c r="J249" i="2"/>
  <c r="E252" i="2"/>
  <c r="F253" i="2"/>
  <c r="G254" i="2"/>
  <c r="H255" i="2"/>
  <c r="I256" i="2"/>
  <c r="J257" i="2"/>
  <c r="E260" i="2"/>
  <c r="F261" i="2"/>
  <c r="G262" i="2"/>
  <c r="H263" i="2"/>
  <c r="I264" i="2"/>
  <c r="J265" i="2"/>
  <c r="E268" i="2"/>
  <c r="F269" i="2"/>
  <c r="G270" i="2"/>
  <c r="H271" i="2"/>
  <c r="I272" i="2"/>
  <c r="J273" i="2"/>
  <c r="E276" i="2"/>
  <c r="F277" i="2"/>
  <c r="G278" i="2"/>
  <c r="H279" i="2"/>
  <c r="I280" i="2"/>
  <c r="J281" i="2"/>
  <c r="E284" i="2"/>
  <c r="F285" i="2"/>
  <c r="G286" i="2"/>
  <c r="H287" i="2"/>
  <c r="I288" i="2"/>
  <c r="J289" i="2"/>
  <c r="E292" i="2"/>
  <c r="F293" i="2"/>
  <c r="G294" i="2"/>
  <c r="H295" i="2"/>
  <c r="I296" i="2"/>
  <c r="J297" i="2"/>
  <c r="E300" i="2"/>
  <c r="F301" i="2"/>
  <c r="G302" i="2"/>
  <c r="H198" i="2"/>
  <c r="E203" i="2"/>
  <c r="I207" i="2"/>
  <c r="F212" i="2"/>
  <c r="J216" i="2"/>
  <c r="G221" i="2"/>
  <c r="H230" i="2"/>
  <c r="E235" i="2"/>
  <c r="G237" i="2"/>
  <c r="H238" i="2"/>
  <c r="I239" i="2"/>
  <c r="J240" i="2"/>
  <c r="E243" i="2"/>
  <c r="F244" i="2"/>
  <c r="G245" i="2"/>
  <c r="H246" i="2"/>
  <c r="I247" i="2"/>
  <c r="J248" i="2"/>
  <c r="E251" i="2"/>
  <c r="F252" i="2"/>
  <c r="G253" i="2"/>
  <c r="H254" i="2"/>
  <c r="I255" i="2"/>
  <c r="J256" i="2"/>
  <c r="E259" i="2"/>
  <c r="F260" i="2"/>
  <c r="G261" i="2"/>
  <c r="H262" i="2"/>
  <c r="I263" i="2"/>
  <c r="J264" i="2"/>
  <c r="E267" i="2"/>
  <c r="F268" i="2"/>
  <c r="G269" i="2"/>
  <c r="H270" i="2"/>
  <c r="I271" i="2"/>
  <c r="J272" i="2"/>
  <c r="E275" i="2"/>
  <c r="F276" i="2"/>
  <c r="G277" i="2"/>
  <c r="H278" i="2"/>
  <c r="I279" i="2"/>
  <c r="J280" i="2"/>
  <c r="E283" i="2"/>
  <c r="F284" i="2"/>
  <c r="G285" i="2"/>
  <c r="H286" i="2"/>
  <c r="I287" i="2"/>
  <c r="J288" i="2"/>
  <c r="E291" i="2"/>
  <c r="F292" i="2"/>
  <c r="G293" i="2"/>
  <c r="H294" i="2"/>
  <c r="I295" i="2"/>
  <c r="J296" i="2"/>
  <c r="E299" i="2"/>
  <c r="F300" i="2"/>
  <c r="G301" i="2"/>
  <c r="H302" i="2"/>
  <c r="E195" i="2"/>
  <c r="J208" i="2"/>
  <c r="E227" i="2"/>
  <c r="F236" i="2"/>
  <c r="J238" i="2"/>
  <c r="E241" i="2"/>
  <c r="G243" i="2"/>
  <c r="I245" i="2"/>
  <c r="F250" i="2"/>
  <c r="H252" i="2"/>
  <c r="I253" i="2"/>
  <c r="F258" i="2"/>
  <c r="H260" i="2"/>
  <c r="J262" i="2"/>
  <c r="E265" i="2"/>
  <c r="G199" i="2"/>
  <c r="H208" i="2"/>
  <c r="E213" i="2"/>
  <c r="I217" i="2"/>
  <c r="F222" i="2"/>
  <c r="J226" i="2"/>
  <c r="G231" i="2"/>
  <c r="H237" i="2"/>
  <c r="I238" i="2"/>
  <c r="J239" i="2"/>
  <c r="E242" i="2"/>
  <c r="F243" i="2"/>
  <c r="G244" i="2"/>
  <c r="H245" i="2"/>
  <c r="I246" i="2"/>
  <c r="J247" i="2"/>
  <c r="E250" i="2"/>
  <c r="F251" i="2"/>
  <c r="G252" i="2"/>
  <c r="H253" i="2"/>
  <c r="I254" i="2"/>
  <c r="J255" i="2"/>
  <c r="E258" i="2"/>
  <c r="F259" i="2"/>
  <c r="G260" i="2"/>
  <c r="H261" i="2"/>
  <c r="I262" i="2"/>
  <c r="J263" i="2"/>
  <c r="E266" i="2"/>
  <c r="F267" i="2"/>
  <c r="G268" i="2"/>
  <c r="H269" i="2"/>
  <c r="I270" i="2"/>
  <c r="J271" i="2"/>
  <c r="E274" i="2"/>
  <c r="F275" i="2"/>
  <c r="G276" i="2"/>
  <c r="H277" i="2"/>
  <c r="I278" i="2"/>
  <c r="J279" i="2"/>
  <c r="E282" i="2"/>
  <c r="F283" i="2"/>
  <c r="G284" i="2"/>
  <c r="H285" i="2"/>
  <c r="I286" i="2"/>
  <c r="J287" i="2"/>
  <c r="E290" i="2"/>
  <c r="F291" i="2"/>
  <c r="G292" i="2"/>
  <c r="H293" i="2"/>
  <c r="I294" i="2"/>
  <c r="J295" i="2"/>
  <c r="E298" i="2"/>
  <c r="F299" i="2"/>
  <c r="G300" i="2"/>
  <c r="H301" i="2"/>
  <c r="I302" i="2"/>
  <c r="I199" i="2"/>
  <c r="F204" i="2"/>
  <c r="G213" i="2"/>
  <c r="H222" i="2"/>
  <c r="I231" i="2"/>
  <c r="I237" i="2"/>
  <c r="F242" i="2"/>
  <c r="H244" i="2"/>
  <c r="J246" i="2"/>
  <c r="E249" i="2"/>
  <c r="G251" i="2"/>
  <c r="J254" i="2"/>
  <c r="E257" i="2"/>
  <c r="G259" i="2"/>
  <c r="I261" i="2"/>
  <c r="F266" i="2"/>
  <c r="E205" i="2"/>
  <c r="J237" i="2"/>
  <c r="E256" i="2"/>
  <c r="F265" i="2"/>
  <c r="J270" i="2"/>
  <c r="G275" i="2"/>
  <c r="H284" i="2"/>
  <c r="E289" i="2"/>
  <c r="I293" i="2"/>
  <c r="F298" i="2"/>
  <c r="J302" i="2"/>
  <c r="I209" i="2"/>
  <c r="E248" i="2"/>
  <c r="F257" i="2"/>
  <c r="G266" i="2"/>
  <c r="H275" i="2"/>
  <c r="E280" i="2"/>
  <c r="I284" i="2"/>
  <c r="F289" i="2"/>
  <c r="J293" i="2"/>
  <c r="G298" i="2"/>
  <c r="F214" i="2"/>
  <c r="E240" i="2"/>
  <c r="F249" i="2"/>
  <c r="G258" i="2"/>
  <c r="G267" i="2"/>
  <c r="H276" i="2"/>
  <c r="E281" i="2"/>
  <c r="I285" i="2"/>
  <c r="F290" i="2"/>
  <c r="J294" i="2"/>
  <c r="G299" i="2"/>
  <c r="H200" i="2"/>
  <c r="E264" i="2"/>
  <c r="F297" i="2"/>
  <c r="J218" i="2"/>
  <c r="F241" i="2"/>
  <c r="G250" i="2"/>
  <c r="H259" i="2"/>
  <c r="H267" i="2"/>
  <c r="E272" i="2"/>
  <c r="I276" i="2"/>
  <c r="F281" i="2"/>
  <c r="J285" i="2"/>
  <c r="G290" i="2"/>
  <c r="H299" i="2"/>
  <c r="G223" i="2"/>
  <c r="G242" i="2"/>
  <c r="H251" i="2"/>
  <c r="I260" i="2"/>
  <c r="H268" i="2"/>
  <c r="E273" i="2"/>
  <c r="I277" i="2"/>
  <c r="F282" i="2"/>
  <c r="J286" i="2"/>
  <c r="G291" i="2"/>
  <c r="H300" i="2"/>
  <c r="H232" i="2"/>
  <c r="J253" i="2"/>
  <c r="I269" i="2"/>
  <c r="F274" i="2"/>
  <c r="J278" i="2"/>
  <c r="G283" i="2"/>
  <c r="E297" i="2"/>
  <c r="J245" i="2"/>
  <c r="G274" i="2"/>
  <c r="E288" i="2"/>
  <c r="I301" i="2"/>
  <c r="I292" i="2"/>
  <c r="H243" i="2"/>
  <c r="I252" i="2"/>
  <c r="J261" i="2"/>
  <c r="I268" i="2"/>
  <c r="F273" i="2"/>
  <c r="J277" i="2"/>
  <c r="G282" i="2"/>
  <c r="H291" i="2"/>
  <c r="E296" i="2"/>
  <c r="I300" i="2"/>
  <c r="I244" i="2"/>
  <c r="H292" i="2"/>
  <c r="I236" i="2"/>
  <c r="J269" i="2"/>
  <c r="H283" i="2"/>
  <c r="J301" i="2"/>
  <c r="F111" i="2"/>
  <c r="G112" i="2"/>
  <c r="G111" i="2"/>
  <c r="H112" i="2"/>
  <c r="H111" i="2"/>
  <c r="I112" i="2"/>
  <c r="I111" i="2"/>
  <c r="J112" i="2"/>
  <c r="J111" i="2"/>
  <c r="J111" i="7" s="1"/>
  <c r="D112" i="2"/>
  <c r="D111" i="2"/>
  <c r="E112" i="2"/>
  <c r="E111" i="2"/>
  <c r="F112" i="2"/>
  <c r="F177" i="2"/>
  <c r="G178" i="2"/>
  <c r="H179" i="2"/>
  <c r="H179" i="7" s="1"/>
  <c r="I180" i="2"/>
  <c r="J181" i="2"/>
  <c r="J181" i="7" s="1"/>
  <c r="G177" i="2"/>
  <c r="G177" i="7" s="1"/>
  <c r="H178" i="2"/>
  <c r="I179" i="2"/>
  <c r="I179" i="7" s="1"/>
  <c r="J180" i="2"/>
  <c r="J180" i="7" s="1"/>
  <c r="D182" i="2"/>
  <c r="D182" i="7" s="1"/>
  <c r="H177" i="2"/>
  <c r="I178" i="2"/>
  <c r="J179" i="2"/>
  <c r="J179" i="7" s="1"/>
  <c r="D181" i="2"/>
  <c r="D181" i="7" s="1"/>
  <c r="E182" i="2"/>
  <c r="E182" i="7" s="1"/>
  <c r="F181" i="2"/>
  <c r="F181" i="7" s="1"/>
  <c r="I177" i="2"/>
  <c r="J178" i="2"/>
  <c r="D180" i="2"/>
  <c r="D180" i="7" s="1"/>
  <c r="E181" i="2"/>
  <c r="E181" i="7" s="1"/>
  <c r="F182" i="2"/>
  <c r="F182" i="7" s="1"/>
  <c r="J177" i="2"/>
  <c r="J177" i="7" s="1"/>
  <c r="D178" i="2"/>
  <c r="E179" i="2"/>
  <c r="E179" i="7" s="1"/>
  <c r="F180" i="2"/>
  <c r="F180" i="7" s="1"/>
  <c r="G181" i="2"/>
  <c r="G181" i="7" s="1"/>
  <c r="H182" i="2"/>
  <c r="H182" i="7" s="1"/>
  <c r="E180" i="2"/>
  <c r="E180" i="7" s="1"/>
  <c r="D177" i="2"/>
  <c r="E178" i="2"/>
  <c r="F179" i="2"/>
  <c r="F179" i="7" s="1"/>
  <c r="G180" i="2"/>
  <c r="G180" i="7" s="1"/>
  <c r="H181" i="2"/>
  <c r="H181" i="7" s="1"/>
  <c r="I182" i="2"/>
  <c r="G182" i="2"/>
  <c r="G182" i="7" s="1"/>
  <c r="E177" i="2"/>
  <c r="F178" i="2"/>
  <c r="G179" i="2"/>
  <c r="G179" i="7" s="1"/>
  <c r="H180" i="2"/>
  <c r="H180" i="7" s="1"/>
  <c r="I181" i="2"/>
  <c r="I181" i="7" s="1"/>
  <c r="J182" i="2"/>
  <c r="J182" i="7" s="1"/>
  <c r="D179" i="2"/>
  <c r="D179" i="7" s="1"/>
  <c r="D183" i="2"/>
  <c r="E184" i="2"/>
  <c r="E184" i="7" s="1"/>
  <c r="F185" i="2"/>
  <c r="F185" i="7" s="1"/>
  <c r="G186" i="2"/>
  <c r="G186" i="7" s="1"/>
  <c r="H187" i="2"/>
  <c r="H187" i="7" s="1"/>
  <c r="I188" i="2"/>
  <c r="I188" i="7" s="1"/>
  <c r="I184" i="2"/>
  <c r="I184" i="7" s="1"/>
  <c r="E183" i="2"/>
  <c r="F184" i="2"/>
  <c r="F184" i="7" s="1"/>
  <c r="G185" i="2"/>
  <c r="G185" i="7" s="1"/>
  <c r="H186" i="2"/>
  <c r="H186" i="7" s="1"/>
  <c r="I187" i="2"/>
  <c r="I187" i="7" s="1"/>
  <c r="J188" i="2"/>
  <c r="J188" i="7" s="1"/>
  <c r="H183" i="2"/>
  <c r="F183" i="2"/>
  <c r="G184" i="2"/>
  <c r="G184" i="7" s="1"/>
  <c r="H185" i="2"/>
  <c r="H185" i="7" s="1"/>
  <c r="I186" i="2"/>
  <c r="I186" i="7" s="1"/>
  <c r="J187" i="2"/>
  <c r="J187" i="7" s="1"/>
  <c r="G183" i="2"/>
  <c r="G183" i="7" s="1"/>
  <c r="H184" i="2"/>
  <c r="H184" i="7" s="1"/>
  <c r="I185" i="2"/>
  <c r="I185" i="7" s="1"/>
  <c r="J186" i="2"/>
  <c r="J186" i="7" s="1"/>
  <c r="D188" i="2"/>
  <c r="D188" i="7" s="1"/>
  <c r="J185" i="2"/>
  <c r="J185" i="7" s="1"/>
  <c r="I183" i="2"/>
  <c r="J184" i="2"/>
  <c r="J184" i="7" s="1"/>
  <c r="D186" i="2"/>
  <c r="D186" i="7" s="1"/>
  <c r="E187" i="2"/>
  <c r="E187" i="7" s="1"/>
  <c r="F188" i="2"/>
  <c r="F188" i="7" s="1"/>
  <c r="E188" i="2"/>
  <c r="E188" i="7" s="1"/>
  <c r="J183" i="2"/>
  <c r="J183" i="7" s="1"/>
  <c r="D185" i="2"/>
  <c r="D185" i="7" s="1"/>
  <c r="E186" i="2"/>
  <c r="E186" i="7" s="1"/>
  <c r="F187" i="2"/>
  <c r="F187" i="7" s="1"/>
  <c r="G188" i="2"/>
  <c r="G188" i="7" s="1"/>
  <c r="D184" i="2"/>
  <c r="D184" i="7" s="1"/>
  <c r="E185" i="2"/>
  <c r="E185" i="7" s="1"/>
  <c r="F186" i="2"/>
  <c r="F186" i="7" s="1"/>
  <c r="G187" i="2"/>
  <c r="G187" i="7" s="1"/>
  <c r="H188" i="2"/>
  <c r="H188" i="7" s="1"/>
  <c r="D187" i="2"/>
  <c r="D187" i="7" s="1"/>
  <c r="D109" i="2"/>
  <c r="D109" i="7" s="1"/>
  <c r="E110" i="2"/>
  <c r="E110" i="7" s="1"/>
  <c r="D108" i="2"/>
  <c r="D108" i="7" s="1"/>
  <c r="E109" i="2"/>
  <c r="E109" i="7" s="1"/>
  <c r="F110" i="2"/>
  <c r="F110" i="7" s="1"/>
  <c r="E108" i="2"/>
  <c r="E108" i="7" s="1"/>
  <c r="F109" i="2"/>
  <c r="F109" i="7" s="1"/>
  <c r="G110" i="2"/>
  <c r="G110" i="7" s="1"/>
  <c r="G108" i="2"/>
  <c r="G108" i="7" s="1"/>
  <c r="H109" i="2"/>
  <c r="H109" i="7" s="1"/>
  <c r="I110" i="2"/>
  <c r="F108" i="2"/>
  <c r="F108" i="7" s="1"/>
  <c r="G109" i="2"/>
  <c r="G109" i="7" s="1"/>
  <c r="H110" i="2"/>
  <c r="H110" i="7" s="1"/>
  <c r="H108" i="2"/>
  <c r="H108" i="7" s="1"/>
  <c r="I109" i="2"/>
  <c r="J110" i="2"/>
  <c r="J110" i="7" s="1"/>
  <c r="I108" i="2"/>
  <c r="J109" i="2"/>
  <c r="J109" i="7" s="1"/>
  <c r="J108" i="2"/>
  <c r="J108" i="7" s="1"/>
  <c r="D110" i="2"/>
  <c r="D110" i="7" s="1"/>
  <c r="J189" i="2"/>
  <c r="J189" i="7" s="1"/>
  <c r="D191" i="2"/>
  <c r="D191" i="7" s="1"/>
  <c r="E192" i="2"/>
  <c r="E192" i="7" s="1"/>
  <c r="F193" i="2"/>
  <c r="F193" i="7" s="1"/>
  <c r="G194" i="2"/>
  <c r="G194" i="7" s="1"/>
  <c r="I192" i="2"/>
  <c r="I192" i="7" s="1"/>
  <c r="D190" i="2"/>
  <c r="D190" i="7" s="1"/>
  <c r="E191" i="2"/>
  <c r="E191" i="7" s="1"/>
  <c r="F192" i="2"/>
  <c r="F192" i="7" s="1"/>
  <c r="G193" i="2"/>
  <c r="G193" i="7" s="1"/>
  <c r="H194" i="2"/>
  <c r="H194" i="7" s="1"/>
  <c r="H191" i="2"/>
  <c r="H191" i="7" s="1"/>
  <c r="D189" i="2"/>
  <c r="E190" i="2"/>
  <c r="E190" i="7" s="1"/>
  <c r="F191" i="2"/>
  <c r="F191" i="7" s="1"/>
  <c r="G192" i="2"/>
  <c r="G192" i="7" s="1"/>
  <c r="H193" i="2"/>
  <c r="H193" i="7" s="1"/>
  <c r="I194" i="2"/>
  <c r="I194" i="7" s="1"/>
  <c r="I193" i="2"/>
  <c r="I193" i="7" s="1"/>
  <c r="F189" i="2"/>
  <c r="E189" i="2"/>
  <c r="F190" i="2"/>
  <c r="F190" i="7" s="1"/>
  <c r="G191" i="2"/>
  <c r="G191" i="7" s="1"/>
  <c r="H192" i="2"/>
  <c r="H192" i="7" s="1"/>
  <c r="J194" i="2"/>
  <c r="J194" i="7" s="1"/>
  <c r="J193" i="2"/>
  <c r="J193" i="7" s="1"/>
  <c r="G189" i="2"/>
  <c r="G189" i="7" s="1"/>
  <c r="H190" i="2"/>
  <c r="H190" i="7" s="1"/>
  <c r="I191" i="2"/>
  <c r="I191" i="7" s="1"/>
  <c r="J192" i="2"/>
  <c r="J192" i="7" s="1"/>
  <c r="D194" i="2"/>
  <c r="D194" i="7" s="1"/>
  <c r="H189" i="2"/>
  <c r="I190" i="2"/>
  <c r="I190" i="7" s="1"/>
  <c r="J191" i="2"/>
  <c r="J191" i="7" s="1"/>
  <c r="D193" i="2"/>
  <c r="D193" i="7" s="1"/>
  <c r="E194" i="2"/>
  <c r="E194" i="7" s="1"/>
  <c r="F194" i="2"/>
  <c r="F194" i="7" s="1"/>
  <c r="G190" i="2"/>
  <c r="G190" i="7" s="1"/>
  <c r="I189" i="2"/>
  <c r="J190" i="2"/>
  <c r="J190" i="7" s="1"/>
  <c r="D192" i="2"/>
  <c r="D192" i="7" s="1"/>
  <c r="E193" i="2"/>
  <c r="E193" i="7" s="1"/>
  <c r="H171" i="2"/>
  <c r="I172" i="2"/>
  <c r="J173" i="2"/>
  <c r="J173" i="7" s="1"/>
  <c r="D175" i="2"/>
  <c r="D175" i="7" s="1"/>
  <c r="E176" i="2"/>
  <c r="E176" i="7" s="1"/>
  <c r="I176" i="2"/>
  <c r="I171" i="2"/>
  <c r="J172" i="2"/>
  <c r="D174" i="2"/>
  <c r="D174" i="7" s="1"/>
  <c r="E175" i="2"/>
  <c r="E175" i="7" s="1"/>
  <c r="F176" i="2"/>
  <c r="F176" i="7" s="1"/>
  <c r="H175" i="2"/>
  <c r="H175" i="7" s="1"/>
  <c r="J171" i="2"/>
  <c r="J171" i="7" s="1"/>
  <c r="D173" i="2"/>
  <c r="D173" i="7" s="1"/>
  <c r="E174" i="2"/>
  <c r="E174" i="7" s="1"/>
  <c r="F175" i="2"/>
  <c r="F175" i="7" s="1"/>
  <c r="G176" i="2"/>
  <c r="G176" i="7" s="1"/>
  <c r="F173" i="2"/>
  <c r="F173" i="7" s="1"/>
  <c r="D172" i="2"/>
  <c r="E173" i="2"/>
  <c r="E173" i="7" s="1"/>
  <c r="F174" i="2"/>
  <c r="F174" i="7" s="1"/>
  <c r="G175" i="2"/>
  <c r="G175" i="7" s="1"/>
  <c r="H176" i="2"/>
  <c r="H176" i="7" s="1"/>
  <c r="E171" i="2"/>
  <c r="F172" i="2"/>
  <c r="G173" i="2"/>
  <c r="G173" i="7" s="1"/>
  <c r="H174" i="2"/>
  <c r="H174" i="7" s="1"/>
  <c r="I175" i="2"/>
  <c r="J176" i="2"/>
  <c r="J176" i="7" s="1"/>
  <c r="E172" i="2"/>
  <c r="F171" i="2"/>
  <c r="G172" i="2"/>
  <c r="H173" i="2"/>
  <c r="H173" i="7" s="1"/>
  <c r="I174" i="2"/>
  <c r="J175" i="2"/>
  <c r="J175" i="7" s="1"/>
  <c r="G174" i="2"/>
  <c r="G174" i="7" s="1"/>
  <c r="G171" i="2"/>
  <c r="G171" i="7" s="1"/>
  <c r="H172" i="2"/>
  <c r="I173" i="2"/>
  <c r="J174" i="2"/>
  <c r="J174" i="7" s="1"/>
  <c r="D176" i="2"/>
  <c r="D176" i="7" s="1"/>
  <c r="D171" i="2"/>
  <c r="H163" i="2"/>
  <c r="H163" i="7" s="1"/>
  <c r="I164" i="2"/>
  <c r="I163" i="2"/>
  <c r="J164" i="2"/>
  <c r="J164" i="7" s="1"/>
  <c r="J163" i="2"/>
  <c r="J163" i="7" s="1"/>
  <c r="D164" i="2"/>
  <c r="D164" i="7" s="1"/>
  <c r="E163" i="2"/>
  <c r="E163" i="7" s="1"/>
  <c r="F164" i="2"/>
  <c r="F164" i="7" s="1"/>
  <c r="E164" i="2"/>
  <c r="E164" i="7" s="1"/>
  <c r="F163" i="2"/>
  <c r="F163" i="7" s="1"/>
  <c r="G164" i="2"/>
  <c r="G164" i="7" s="1"/>
  <c r="G163" i="2"/>
  <c r="G163" i="7" s="1"/>
  <c r="H164" i="2"/>
  <c r="H164" i="7" s="1"/>
  <c r="D163" i="2"/>
  <c r="D163" i="7" s="1"/>
  <c r="J165" i="2"/>
  <c r="J165" i="7" s="1"/>
  <c r="D167" i="2"/>
  <c r="D167" i="7" s="1"/>
  <c r="E168" i="2"/>
  <c r="E168" i="7" s="1"/>
  <c r="F169" i="2"/>
  <c r="F169" i="7" s="1"/>
  <c r="G170" i="2"/>
  <c r="G170" i="7" s="1"/>
  <c r="I168" i="2"/>
  <c r="D166" i="2"/>
  <c r="E167" i="2"/>
  <c r="E167" i="7" s="1"/>
  <c r="F168" i="2"/>
  <c r="F168" i="7" s="1"/>
  <c r="G169" i="2"/>
  <c r="G169" i="7" s="1"/>
  <c r="H170" i="2"/>
  <c r="H170" i="7" s="1"/>
  <c r="G166" i="2"/>
  <c r="D165" i="2"/>
  <c r="E166" i="2"/>
  <c r="F167" i="2"/>
  <c r="F167" i="7" s="1"/>
  <c r="G168" i="2"/>
  <c r="G168" i="7" s="1"/>
  <c r="H169" i="2"/>
  <c r="H169" i="7" s="1"/>
  <c r="I170" i="2"/>
  <c r="H167" i="2"/>
  <c r="H167" i="7" s="1"/>
  <c r="E165" i="2"/>
  <c r="F166" i="2"/>
  <c r="G167" i="2"/>
  <c r="G167" i="7" s="1"/>
  <c r="H168" i="2"/>
  <c r="H168" i="7" s="1"/>
  <c r="I169" i="2"/>
  <c r="J170" i="2"/>
  <c r="J170" i="7" s="1"/>
  <c r="J169" i="2"/>
  <c r="J169" i="7" s="1"/>
  <c r="G165" i="2"/>
  <c r="H166" i="2"/>
  <c r="I167" i="2"/>
  <c r="J168" i="2"/>
  <c r="J168" i="7" s="1"/>
  <c r="D170" i="2"/>
  <c r="D170" i="7" s="1"/>
  <c r="H165" i="2"/>
  <c r="I166" i="2"/>
  <c r="J167" i="2"/>
  <c r="J167" i="7" s="1"/>
  <c r="D169" i="2"/>
  <c r="D169" i="7" s="1"/>
  <c r="E170" i="2"/>
  <c r="E170" i="7" s="1"/>
  <c r="F165" i="2"/>
  <c r="I165" i="2"/>
  <c r="J166" i="2"/>
  <c r="D168" i="2"/>
  <c r="D168" i="7" s="1"/>
  <c r="E169" i="2"/>
  <c r="E169" i="7" s="1"/>
  <c r="F170" i="2"/>
  <c r="F170" i="7" s="1"/>
  <c r="H23" i="2"/>
  <c r="H23" i="7" s="1"/>
  <c r="I24" i="2"/>
  <c r="J25" i="2"/>
  <c r="J25" i="7" s="1"/>
  <c r="D27" i="2"/>
  <c r="I23" i="2"/>
  <c r="J24" i="2"/>
  <c r="J24" i="7" s="1"/>
  <c r="D26" i="2"/>
  <c r="D26" i="7" s="1"/>
  <c r="E27" i="2"/>
  <c r="J23" i="2"/>
  <c r="J23" i="7" s="1"/>
  <c r="D25" i="2"/>
  <c r="D25" i="7" s="1"/>
  <c r="E26" i="2"/>
  <c r="E26" i="7" s="1"/>
  <c r="F27" i="2"/>
  <c r="D24" i="2"/>
  <c r="D24" i="7" s="1"/>
  <c r="E25" i="2"/>
  <c r="E25" i="7" s="1"/>
  <c r="F26" i="2"/>
  <c r="F26" i="7" s="1"/>
  <c r="G27" i="2"/>
  <c r="D23" i="2"/>
  <c r="D23" i="7" s="1"/>
  <c r="E24" i="2"/>
  <c r="E24" i="7" s="1"/>
  <c r="F25" i="2"/>
  <c r="F25" i="7" s="1"/>
  <c r="G26" i="2"/>
  <c r="G26" i="7" s="1"/>
  <c r="H27" i="2"/>
  <c r="E23" i="2"/>
  <c r="E23" i="7" s="1"/>
  <c r="F24" i="2"/>
  <c r="F24" i="7" s="1"/>
  <c r="G25" i="2"/>
  <c r="G25" i="7" s="1"/>
  <c r="H26" i="2"/>
  <c r="H26" i="7" s="1"/>
  <c r="I27" i="2"/>
  <c r="F23" i="2"/>
  <c r="F23" i="7" s="1"/>
  <c r="G24" i="2"/>
  <c r="G24" i="7" s="1"/>
  <c r="H25" i="2"/>
  <c r="H25" i="7" s="1"/>
  <c r="I26" i="2"/>
  <c r="J27" i="2"/>
  <c r="J27" i="7" s="1"/>
  <c r="G23" i="2"/>
  <c r="G23" i="7" s="1"/>
  <c r="H24" i="2"/>
  <c r="H24" i="7" s="1"/>
  <c r="I25" i="2"/>
  <c r="J26" i="2"/>
  <c r="J26" i="7" s="1"/>
  <c r="F93" i="2"/>
  <c r="G94" i="2"/>
  <c r="H95" i="2"/>
  <c r="H95" i="7" s="1"/>
  <c r="I96" i="2"/>
  <c r="J97" i="2"/>
  <c r="J97" i="7" s="1"/>
  <c r="G93" i="2"/>
  <c r="G93" i="7" s="1"/>
  <c r="H94" i="2"/>
  <c r="I95" i="2"/>
  <c r="J96" i="2"/>
  <c r="J96" i="7" s="1"/>
  <c r="H93" i="2"/>
  <c r="I94" i="2"/>
  <c r="J95" i="2"/>
  <c r="J95" i="7" s="1"/>
  <c r="D97" i="2"/>
  <c r="D97" i="7" s="1"/>
  <c r="I93" i="2"/>
  <c r="J94" i="2"/>
  <c r="D96" i="2"/>
  <c r="D96" i="7" s="1"/>
  <c r="E97" i="2"/>
  <c r="E97" i="7" s="1"/>
  <c r="J93" i="2"/>
  <c r="J93" i="7" s="1"/>
  <c r="D95" i="2"/>
  <c r="D95" i="7" s="1"/>
  <c r="E96" i="2"/>
  <c r="E96" i="7" s="1"/>
  <c r="F97" i="2"/>
  <c r="F97" i="7" s="1"/>
  <c r="D94" i="2"/>
  <c r="E95" i="2"/>
  <c r="E95" i="7" s="1"/>
  <c r="F96" i="2"/>
  <c r="F96" i="7" s="1"/>
  <c r="G97" i="2"/>
  <c r="G97" i="7" s="1"/>
  <c r="D93" i="2"/>
  <c r="E94" i="2"/>
  <c r="F95" i="2"/>
  <c r="F95" i="7" s="1"/>
  <c r="G96" i="2"/>
  <c r="G96" i="7" s="1"/>
  <c r="H97" i="2"/>
  <c r="H97" i="7" s="1"/>
  <c r="E93" i="2"/>
  <c r="F94" i="2"/>
  <c r="G95" i="2"/>
  <c r="G95" i="7" s="1"/>
  <c r="H96" i="2"/>
  <c r="H96" i="7" s="1"/>
  <c r="I97" i="2"/>
  <c r="E98" i="2"/>
  <c r="E98" i="7" s="1"/>
  <c r="F99" i="2"/>
  <c r="F98" i="2"/>
  <c r="F98" i="7" s="1"/>
  <c r="G98" i="2"/>
  <c r="G98" i="7" s="1"/>
  <c r="H98" i="2"/>
  <c r="H98" i="7" s="1"/>
  <c r="I99" i="2"/>
  <c r="I98" i="2"/>
  <c r="J99" i="2"/>
  <c r="J99" i="7" s="1"/>
  <c r="J98" i="2"/>
  <c r="J98" i="7" s="1"/>
  <c r="D98" i="2"/>
  <c r="D98" i="7" s="1"/>
  <c r="G100" i="2"/>
  <c r="H101" i="2"/>
  <c r="H101" i="7" s="1"/>
  <c r="I102" i="2"/>
  <c r="D99" i="2"/>
  <c r="H100" i="2"/>
  <c r="I101" i="2"/>
  <c r="J102" i="2"/>
  <c r="J102" i="7" s="1"/>
  <c r="E99" i="2"/>
  <c r="I100" i="2"/>
  <c r="J101" i="2"/>
  <c r="J101" i="7" s="1"/>
  <c r="G99" i="2"/>
  <c r="G99" i="7" s="1"/>
  <c r="J100" i="2"/>
  <c r="D102" i="2"/>
  <c r="D102" i="7" s="1"/>
  <c r="H99" i="2"/>
  <c r="D101" i="2"/>
  <c r="D101" i="7" s="1"/>
  <c r="E102" i="2"/>
  <c r="E102" i="7" s="1"/>
  <c r="D100" i="2"/>
  <c r="E101" i="2"/>
  <c r="E101" i="7" s="1"/>
  <c r="F102" i="2"/>
  <c r="F102" i="7" s="1"/>
  <c r="E100" i="2"/>
  <c r="F101" i="2"/>
  <c r="F101" i="7" s="1"/>
  <c r="G102" i="2"/>
  <c r="G102" i="7" s="1"/>
  <c r="F100" i="2"/>
  <c r="G101" i="2"/>
  <c r="G101" i="7" s="1"/>
  <c r="H102" i="2"/>
  <c r="H102" i="7" s="1"/>
  <c r="I118" i="2"/>
  <c r="J119" i="2"/>
  <c r="J119" i="7" s="1"/>
  <c r="D121" i="2"/>
  <c r="D121" i="7" s="1"/>
  <c r="E122" i="2"/>
  <c r="E122" i="7" s="1"/>
  <c r="J118" i="2"/>
  <c r="D120" i="2"/>
  <c r="D120" i="7" s="1"/>
  <c r="E121" i="2"/>
  <c r="E121" i="7" s="1"/>
  <c r="F122" i="2"/>
  <c r="F122" i="7" s="1"/>
  <c r="D119" i="2"/>
  <c r="D119" i="7" s="1"/>
  <c r="E120" i="2"/>
  <c r="E120" i="7" s="1"/>
  <c r="F121" i="2"/>
  <c r="F121" i="7" s="1"/>
  <c r="G122" i="2"/>
  <c r="G122" i="7" s="1"/>
  <c r="D118" i="2"/>
  <c r="E119" i="2"/>
  <c r="E119" i="7" s="1"/>
  <c r="F120" i="2"/>
  <c r="F120" i="7" s="1"/>
  <c r="G121" i="2"/>
  <c r="G121" i="7" s="1"/>
  <c r="H122" i="2"/>
  <c r="H122" i="7" s="1"/>
  <c r="E118" i="2"/>
  <c r="F119" i="2"/>
  <c r="F119" i="7" s="1"/>
  <c r="G120" i="2"/>
  <c r="G120" i="7" s="1"/>
  <c r="H121" i="2"/>
  <c r="H121" i="7" s="1"/>
  <c r="I122" i="2"/>
  <c r="F118" i="2"/>
  <c r="G119" i="2"/>
  <c r="G119" i="7" s="1"/>
  <c r="H120" i="2"/>
  <c r="H120" i="7" s="1"/>
  <c r="I121" i="2"/>
  <c r="J122" i="2"/>
  <c r="J122" i="7" s="1"/>
  <c r="G118" i="2"/>
  <c r="H119" i="2"/>
  <c r="H119" i="7" s="1"/>
  <c r="I120" i="2"/>
  <c r="J121" i="2"/>
  <c r="J121" i="7" s="1"/>
  <c r="H118" i="2"/>
  <c r="I119" i="2"/>
  <c r="J120" i="2"/>
  <c r="J120" i="7" s="1"/>
  <c r="D122" i="2"/>
  <c r="D122" i="7" s="1"/>
  <c r="D129" i="2"/>
  <c r="E130" i="2"/>
  <c r="F131" i="2"/>
  <c r="G132" i="2"/>
  <c r="D128" i="2"/>
  <c r="D128" i="7" s="1"/>
  <c r="E129" i="2"/>
  <c r="F130" i="2"/>
  <c r="G131" i="2"/>
  <c r="H132" i="2"/>
  <c r="E128" i="2"/>
  <c r="E128" i="7" s="1"/>
  <c r="F129" i="2"/>
  <c r="G130" i="2"/>
  <c r="H131" i="2"/>
  <c r="I132" i="2"/>
  <c r="G129" i="2"/>
  <c r="H130" i="2"/>
  <c r="I131" i="2"/>
  <c r="J132" i="2"/>
  <c r="G128" i="2"/>
  <c r="G128" i="7" s="1"/>
  <c r="H129" i="2"/>
  <c r="I130" i="2"/>
  <c r="J131" i="2"/>
  <c r="H128" i="2"/>
  <c r="H128" i="7" s="1"/>
  <c r="I129" i="2"/>
  <c r="J130" i="2"/>
  <c r="D132" i="2"/>
  <c r="I128" i="2"/>
  <c r="J129" i="2"/>
  <c r="D131" i="2"/>
  <c r="E132" i="2"/>
  <c r="J128" i="2"/>
  <c r="J128" i="7" s="1"/>
  <c r="D130" i="2"/>
  <c r="E131" i="2"/>
  <c r="F132" i="2"/>
  <c r="G148" i="2"/>
  <c r="H149" i="2"/>
  <c r="H149" i="7" s="1"/>
  <c r="I150" i="2"/>
  <c r="J151" i="2"/>
  <c r="J151" i="7" s="1"/>
  <c r="H148" i="2"/>
  <c r="I149" i="2"/>
  <c r="J150" i="2"/>
  <c r="J150" i="7" s="1"/>
  <c r="D152" i="2"/>
  <c r="D152" i="7" s="1"/>
  <c r="I148" i="2"/>
  <c r="J149" i="2"/>
  <c r="J149" i="7" s="1"/>
  <c r="D151" i="2"/>
  <c r="D151" i="7" s="1"/>
  <c r="E152" i="2"/>
  <c r="E152" i="7" s="1"/>
  <c r="J148" i="2"/>
  <c r="D150" i="2"/>
  <c r="D150" i="7" s="1"/>
  <c r="E151" i="2"/>
  <c r="E151" i="7" s="1"/>
  <c r="F152" i="2"/>
  <c r="F152" i="7" s="1"/>
  <c r="D149" i="2"/>
  <c r="D149" i="7" s="1"/>
  <c r="E150" i="2"/>
  <c r="E150" i="7" s="1"/>
  <c r="F151" i="2"/>
  <c r="F151" i="7" s="1"/>
  <c r="G152" i="2"/>
  <c r="G152" i="7" s="1"/>
  <c r="D148" i="2"/>
  <c r="E149" i="2"/>
  <c r="E149" i="7" s="1"/>
  <c r="F150" i="2"/>
  <c r="F150" i="7" s="1"/>
  <c r="G151" i="2"/>
  <c r="G151" i="7" s="1"/>
  <c r="H152" i="2"/>
  <c r="H152" i="7" s="1"/>
  <c r="E148" i="2"/>
  <c r="F149" i="2"/>
  <c r="F149" i="7" s="1"/>
  <c r="G150" i="2"/>
  <c r="G150" i="7" s="1"/>
  <c r="H151" i="2"/>
  <c r="H151" i="7" s="1"/>
  <c r="I152" i="2"/>
  <c r="F148" i="2"/>
  <c r="G149" i="2"/>
  <c r="G149" i="7" s="1"/>
  <c r="H150" i="2"/>
  <c r="H150" i="7" s="1"/>
  <c r="I151" i="2"/>
  <c r="J152" i="2"/>
  <c r="J152" i="7" s="1"/>
  <c r="D153" i="2"/>
  <c r="E154" i="2"/>
  <c r="F155" i="2"/>
  <c r="F155" i="7" s="1"/>
  <c r="G156" i="2"/>
  <c r="G156" i="7" s="1"/>
  <c r="H157" i="2"/>
  <c r="H157" i="7" s="1"/>
  <c r="E153" i="2"/>
  <c r="F154" i="2"/>
  <c r="G155" i="2"/>
  <c r="G155" i="7" s="1"/>
  <c r="H156" i="2"/>
  <c r="H156" i="7" s="1"/>
  <c r="I157" i="2"/>
  <c r="F153" i="2"/>
  <c r="G154" i="2"/>
  <c r="H155" i="2"/>
  <c r="H155" i="7" s="1"/>
  <c r="I156" i="2"/>
  <c r="J157" i="2"/>
  <c r="J157" i="7" s="1"/>
  <c r="G153" i="2"/>
  <c r="H154" i="2"/>
  <c r="I155" i="2"/>
  <c r="J156" i="2"/>
  <c r="J156" i="7" s="1"/>
  <c r="H153" i="2"/>
  <c r="I154" i="2"/>
  <c r="J155" i="2"/>
  <c r="J155" i="7" s="1"/>
  <c r="D157" i="2"/>
  <c r="D157" i="7" s="1"/>
  <c r="I153" i="2"/>
  <c r="J154" i="2"/>
  <c r="D156" i="2"/>
  <c r="D156" i="7" s="1"/>
  <c r="E157" i="2"/>
  <c r="E157" i="7" s="1"/>
  <c r="J153" i="2"/>
  <c r="J153" i="7" s="1"/>
  <c r="D155" i="2"/>
  <c r="D155" i="7" s="1"/>
  <c r="E156" i="2"/>
  <c r="E156" i="7" s="1"/>
  <c r="F157" i="2"/>
  <c r="F157" i="7" s="1"/>
  <c r="D154" i="2"/>
  <c r="E155" i="2"/>
  <c r="E155" i="7" s="1"/>
  <c r="F156" i="2"/>
  <c r="F156" i="7" s="1"/>
  <c r="G157" i="2"/>
  <c r="G157" i="7" s="1"/>
  <c r="E28" i="2"/>
  <c r="F29" i="2"/>
  <c r="F29" i="7" s="1"/>
  <c r="G30" i="2"/>
  <c r="G30" i="7" s="1"/>
  <c r="H31" i="2"/>
  <c r="H31" i="7" s="1"/>
  <c r="I32" i="2"/>
  <c r="F28" i="2"/>
  <c r="G29" i="2"/>
  <c r="G29" i="7" s="1"/>
  <c r="H30" i="2"/>
  <c r="H30" i="7" s="1"/>
  <c r="I31" i="2"/>
  <c r="J32" i="2"/>
  <c r="J32" i="7" s="1"/>
  <c r="G28" i="2"/>
  <c r="H29" i="2"/>
  <c r="H29" i="7" s="1"/>
  <c r="I30" i="2"/>
  <c r="J31" i="2"/>
  <c r="J31" i="7" s="1"/>
  <c r="H28" i="2"/>
  <c r="I29" i="2"/>
  <c r="J30" i="2"/>
  <c r="J30" i="7" s="1"/>
  <c r="D32" i="2"/>
  <c r="D32" i="7" s="1"/>
  <c r="I28" i="2"/>
  <c r="J29" i="2"/>
  <c r="J29" i="7" s="1"/>
  <c r="D31" i="2"/>
  <c r="D31" i="7" s="1"/>
  <c r="E32" i="2"/>
  <c r="E32" i="7" s="1"/>
  <c r="J28" i="2"/>
  <c r="D30" i="2"/>
  <c r="D30" i="7" s="1"/>
  <c r="E31" i="2"/>
  <c r="E31" i="7" s="1"/>
  <c r="F32" i="2"/>
  <c r="F32" i="7" s="1"/>
  <c r="D29" i="2"/>
  <c r="D29" i="7" s="1"/>
  <c r="E30" i="2"/>
  <c r="E30" i="7" s="1"/>
  <c r="F31" i="2"/>
  <c r="F31" i="7" s="1"/>
  <c r="G32" i="2"/>
  <c r="G32" i="7" s="1"/>
  <c r="D28" i="2"/>
  <c r="E29" i="2"/>
  <c r="E29" i="7" s="1"/>
  <c r="F30" i="2"/>
  <c r="F30" i="7" s="1"/>
  <c r="G31" i="2"/>
  <c r="G31" i="7" s="1"/>
  <c r="H32" i="2"/>
  <c r="H32" i="7" s="1"/>
  <c r="D59" i="2"/>
  <c r="D59" i="7" s="1"/>
  <c r="E60" i="2"/>
  <c r="E60" i="7" s="1"/>
  <c r="F61" i="2"/>
  <c r="F61" i="7" s="1"/>
  <c r="G62" i="2"/>
  <c r="G62" i="7" s="1"/>
  <c r="D58" i="2"/>
  <c r="E59" i="2"/>
  <c r="E59" i="7" s="1"/>
  <c r="F60" i="2"/>
  <c r="F60" i="7" s="1"/>
  <c r="G61" i="2"/>
  <c r="G61" i="7" s="1"/>
  <c r="H62" i="2"/>
  <c r="H62" i="7" s="1"/>
  <c r="E58" i="2"/>
  <c r="F59" i="2"/>
  <c r="F59" i="7" s="1"/>
  <c r="G60" i="2"/>
  <c r="G60" i="7" s="1"/>
  <c r="H61" i="2"/>
  <c r="H61" i="7" s="1"/>
  <c r="I62" i="2"/>
  <c r="F58" i="2"/>
  <c r="G59" i="2"/>
  <c r="G59" i="7" s="1"/>
  <c r="H60" i="2"/>
  <c r="H60" i="7" s="1"/>
  <c r="I61" i="2"/>
  <c r="J62" i="2"/>
  <c r="J62" i="7" s="1"/>
  <c r="G58" i="2"/>
  <c r="H59" i="2"/>
  <c r="H59" i="7" s="1"/>
  <c r="I60" i="2"/>
  <c r="J61" i="2"/>
  <c r="J61" i="7" s="1"/>
  <c r="H58" i="2"/>
  <c r="I59" i="2"/>
  <c r="J60" i="2"/>
  <c r="J60" i="7" s="1"/>
  <c r="D62" i="2"/>
  <c r="D62" i="7" s="1"/>
  <c r="I58" i="2"/>
  <c r="J59" i="2"/>
  <c r="J59" i="7" s="1"/>
  <c r="D61" i="2"/>
  <c r="D61" i="7" s="1"/>
  <c r="E62" i="2"/>
  <c r="E62" i="7" s="1"/>
  <c r="J58" i="2"/>
  <c r="D60" i="2"/>
  <c r="D60" i="7" s="1"/>
  <c r="E61" i="2"/>
  <c r="E61" i="7" s="1"/>
  <c r="F62" i="2"/>
  <c r="F62" i="7" s="1"/>
  <c r="I88" i="2"/>
  <c r="J89" i="2"/>
  <c r="J89" i="7" s="1"/>
  <c r="D91" i="2"/>
  <c r="D91" i="7" s="1"/>
  <c r="E92" i="2"/>
  <c r="E92" i="7" s="1"/>
  <c r="J88" i="2"/>
  <c r="D90" i="2"/>
  <c r="D90" i="7" s="1"/>
  <c r="E91" i="2"/>
  <c r="E91" i="7" s="1"/>
  <c r="F92" i="2"/>
  <c r="F92" i="7" s="1"/>
  <c r="D89" i="2"/>
  <c r="D89" i="7" s="1"/>
  <c r="E90" i="2"/>
  <c r="E90" i="7" s="1"/>
  <c r="F91" i="2"/>
  <c r="F91" i="7" s="1"/>
  <c r="G92" i="2"/>
  <c r="G92" i="7" s="1"/>
  <c r="D88" i="2"/>
  <c r="E89" i="2"/>
  <c r="E89" i="7" s="1"/>
  <c r="F90" i="2"/>
  <c r="F90" i="7" s="1"/>
  <c r="G91" i="2"/>
  <c r="G91" i="7" s="1"/>
  <c r="H92" i="2"/>
  <c r="H92" i="7" s="1"/>
  <c r="E88" i="2"/>
  <c r="F89" i="2"/>
  <c r="F89" i="7" s="1"/>
  <c r="G90" i="2"/>
  <c r="G90" i="7" s="1"/>
  <c r="H91" i="2"/>
  <c r="H91" i="7" s="1"/>
  <c r="I92" i="2"/>
  <c r="F88" i="2"/>
  <c r="G89" i="2"/>
  <c r="G89" i="7" s="1"/>
  <c r="H90" i="2"/>
  <c r="H90" i="7" s="1"/>
  <c r="I91" i="2"/>
  <c r="J92" i="2"/>
  <c r="J92" i="7" s="1"/>
  <c r="G88" i="2"/>
  <c r="H89" i="2"/>
  <c r="H89" i="7" s="1"/>
  <c r="I90" i="2"/>
  <c r="J91" i="2"/>
  <c r="J91" i="7" s="1"/>
  <c r="H88" i="2"/>
  <c r="I89" i="2"/>
  <c r="J90" i="2"/>
  <c r="J90" i="7" s="1"/>
  <c r="D92" i="2"/>
  <c r="D92" i="7" s="1"/>
  <c r="D113" i="2"/>
  <c r="D113" i="7" s="1"/>
  <c r="E114" i="2"/>
  <c r="E114" i="7" s="1"/>
  <c r="F115" i="2"/>
  <c r="F115" i="7" s="1"/>
  <c r="G116" i="2"/>
  <c r="G116" i="7" s="1"/>
  <c r="H117" i="2"/>
  <c r="E113" i="2"/>
  <c r="E113" i="7" s="1"/>
  <c r="F114" i="2"/>
  <c r="F114" i="7" s="1"/>
  <c r="G115" i="2"/>
  <c r="G115" i="7" s="1"/>
  <c r="H116" i="2"/>
  <c r="H116" i="7" s="1"/>
  <c r="I117" i="2"/>
  <c r="F113" i="2"/>
  <c r="F113" i="7" s="1"/>
  <c r="G114" i="2"/>
  <c r="G114" i="7" s="1"/>
  <c r="H115" i="2"/>
  <c r="H115" i="7" s="1"/>
  <c r="I116" i="2"/>
  <c r="J117" i="2"/>
  <c r="J117" i="7" s="1"/>
  <c r="G113" i="2"/>
  <c r="G113" i="7" s="1"/>
  <c r="H114" i="2"/>
  <c r="H114" i="7" s="1"/>
  <c r="I115" i="2"/>
  <c r="J116" i="2"/>
  <c r="J116" i="7" s="1"/>
  <c r="H113" i="2"/>
  <c r="H113" i="7" s="1"/>
  <c r="I114" i="2"/>
  <c r="J115" i="2"/>
  <c r="J115" i="7" s="1"/>
  <c r="D117" i="2"/>
  <c r="I113" i="2"/>
  <c r="J114" i="2"/>
  <c r="J114" i="7" s="1"/>
  <c r="D116" i="2"/>
  <c r="D116" i="7" s="1"/>
  <c r="E117" i="2"/>
  <c r="J113" i="2"/>
  <c r="J113" i="7" s="1"/>
  <c r="D115" i="2"/>
  <c r="D115" i="7" s="1"/>
  <c r="E116" i="2"/>
  <c r="E116" i="7" s="1"/>
  <c r="F117" i="2"/>
  <c r="D114" i="2"/>
  <c r="D114" i="7" s="1"/>
  <c r="E115" i="2"/>
  <c r="E115" i="7" s="1"/>
  <c r="F116" i="2"/>
  <c r="F116" i="7" s="1"/>
  <c r="G117" i="2"/>
  <c r="G117" i="7" s="1"/>
  <c r="H133" i="2"/>
  <c r="I134" i="2"/>
  <c r="J135" i="2"/>
  <c r="J135" i="7" s="1"/>
  <c r="D137" i="2"/>
  <c r="D137" i="7" s="1"/>
  <c r="I133" i="2"/>
  <c r="J134" i="2"/>
  <c r="D136" i="2"/>
  <c r="E137" i="2"/>
  <c r="E137" i="7" s="1"/>
  <c r="J133" i="2"/>
  <c r="D135" i="2"/>
  <c r="E136" i="2"/>
  <c r="F137" i="2"/>
  <c r="F137" i="7" s="1"/>
  <c r="D134" i="2"/>
  <c r="E135" i="2"/>
  <c r="F136" i="2"/>
  <c r="G137" i="2"/>
  <c r="G137" i="7" s="1"/>
  <c r="D133" i="2"/>
  <c r="E134" i="2"/>
  <c r="F135" i="2"/>
  <c r="G136" i="2"/>
  <c r="H137" i="2"/>
  <c r="H137" i="7" s="1"/>
  <c r="E133" i="2"/>
  <c r="F134" i="2"/>
  <c r="G135" i="2"/>
  <c r="H136" i="2"/>
  <c r="I137" i="2"/>
  <c r="F133" i="2"/>
  <c r="G134" i="2"/>
  <c r="H135" i="2"/>
  <c r="I136" i="2"/>
  <c r="J137" i="2"/>
  <c r="J137" i="7" s="1"/>
  <c r="G133" i="2"/>
  <c r="H134" i="2"/>
  <c r="I135" i="2"/>
  <c r="J136" i="2"/>
  <c r="I158" i="2"/>
  <c r="J159" i="2"/>
  <c r="J159" i="7" s="1"/>
  <c r="D161" i="2"/>
  <c r="D161" i="7" s="1"/>
  <c r="E162" i="2"/>
  <c r="E162" i="7" s="1"/>
  <c r="J158" i="2"/>
  <c r="J158" i="7" s="1"/>
  <c r="D160" i="2"/>
  <c r="E161" i="2"/>
  <c r="E161" i="7" s="1"/>
  <c r="F162" i="2"/>
  <c r="F162" i="7" s="1"/>
  <c r="D159" i="2"/>
  <c r="E160" i="2"/>
  <c r="F161" i="2"/>
  <c r="F161" i="7" s="1"/>
  <c r="G162" i="2"/>
  <c r="G162" i="7" s="1"/>
  <c r="D158" i="2"/>
  <c r="D158" i="7" s="1"/>
  <c r="E159" i="2"/>
  <c r="F160" i="2"/>
  <c r="G161" i="2"/>
  <c r="G161" i="7" s="1"/>
  <c r="H162" i="2"/>
  <c r="H162" i="7" s="1"/>
  <c r="E158" i="2"/>
  <c r="E158" i="7" s="1"/>
  <c r="F159" i="2"/>
  <c r="G160" i="2"/>
  <c r="H161" i="2"/>
  <c r="H161" i="7" s="1"/>
  <c r="I162" i="2"/>
  <c r="F158" i="2"/>
  <c r="F158" i="7" s="1"/>
  <c r="G159" i="2"/>
  <c r="G159" i="7" s="1"/>
  <c r="H160" i="2"/>
  <c r="I161" i="2"/>
  <c r="J162" i="2"/>
  <c r="J162" i="7" s="1"/>
  <c r="G158" i="2"/>
  <c r="G158" i="7" s="1"/>
  <c r="H159" i="2"/>
  <c r="I160" i="2"/>
  <c r="J161" i="2"/>
  <c r="J161" i="7" s="1"/>
  <c r="H158" i="2"/>
  <c r="H158" i="7" s="1"/>
  <c r="I159" i="2"/>
  <c r="J160" i="2"/>
  <c r="D162" i="2"/>
  <c r="D162" i="7" s="1"/>
  <c r="G38" i="2"/>
  <c r="G38" i="7" s="1"/>
  <c r="H39" i="2"/>
  <c r="I40" i="2"/>
  <c r="J41" i="2"/>
  <c r="J41" i="7" s="1"/>
  <c r="H38" i="2"/>
  <c r="H38" i="7" s="1"/>
  <c r="I39" i="2"/>
  <c r="J40" i="2"/>
  <c r="D42" i="2"/>
  <c r="D42" i="7" s="1"/>
  <c r="I38" i="2"/>
  <c r="J39" i="2"/>
  <c r="J39" i="7" s="1"/>
  <c r="D41" i="2"/>
  <c r="D41" i="7" s="1"/>
  <c r="E42" i="2"/>
  <c r="E42" i="7" s="1"/>
  <c r="J38" i="2"/>
  <c r="J38" i="7" s="1"/>
  <c r="D40" i="2"/>
  <c r="E41" i="2"/>
  <c r="E41" i="7" s="1"/>
  <c r="F42" i="2"/>
  <c r="F42" i="7" s="1"/>
  <c r="D39" i="2"/>
  <c r="D39" i="7" s="1"/>
  <c r="E40" i="2"/>
  <c r="F41" i="2"/>
  <c r="F41" i="7" s="1"/>
  <c r="G42" i="2"/>
  <c r="G42" i="7" s="1"/>
  <c r="D38" i="2"/>
  <c r="D38" i="7" s="1"/>
  <c r="E39" i="2"/>
  <c r="F40" i="2"/>
  <c r="G41" i="2"/>
  <c r="G41" i="7" s="1"/>
  <c r="H42" i="2"/>
  <c r="H42" i="7" s="1"/>
  <c r="E38" i="2"/>
  <c r="E38" i="7" s="1"/>
  <c r="F39" i="2"/>
  <c r="G40" i="2"/>
  <c r="H41" i="2"/>
  <c r="H41" i="7" s="1"/>
  <c r="I42" i="2"/>
  <c r="F38" i="2"/>
  <c r="F38" i="7" s="1"/>
  <c r="G39" i="2"/>
  <c r="G39" i="7" s="1"/>
  <c r="H40" i="2"/>
  <c r="I41" i="2"/>
  <c r="J42" i="2"/>
  <c r="J42" i="7" s="1"/>
  <c r="J143" i="2"/>
  <c r="J143" i="7" s="1"/>
  <c r="D145" i="2"/>
  <c r="D145" i="7" s="1"/>
  <c r="E146" i="2"/>
  <c r="E146" i="7" s="1"/>
  <c r="F147" i="2"/>
  <c r="D144" i="2"/>
  <c r="D144" i="7" s="1"/>
  <c r="E145" i="2"/>
  <c r="E145" i="7" s="1"/>
  <c r="F146" i="2"/>
  <c r="F146" i="7" s="1"/>
  <c r="G147" i="2"/>
  <c r="G147" i="7" s="1"/>
  <c r="D143" i="2"/>
  <c r="D143" i="7" s="1"/>
  <c r="E144" i="2"/>
  <c r="E144" i="7" s="1"/>
  <c r="F145" i="2"/>
  <c r="F145" i="7" s="1"/>
  <c r="G146" i="2"/>
  <c r="G146" i="7" s="1"/>
  <c r="H147" i="2"/>
  <c r="E143" i="2"/>
  <c r="E143" i="7" s="1"/>
  <c r="F144" i="2"/>
  <c r="F144" i="7" s="1"/>
  <c r="G145" i="2"/>
  <c r="G145" i="7" s="1"/>
  <c r="H146" i="2"/>
  <c r="H146" i="7" s="1"/>
  <c r="I147" i="2"/>
  <c r="F143" i="2"/>
  <c r="F143" i="7" s="1"/>
  <c r="G144" i="2"/>
  <c r="G144" i="7" s="1"/>
  <c r="H145" i="2"/>
  <c r="H145" i="7" s="1"/>
  <c r="I146" i="2"/>
  <c r="J147" i="2"/>
  <c r="J147" i="7" s="1"/>
  <c r="G143" i="2"/>
  <c r="G143" i="7" s="1"/>
  <c r="H144" i="2"/>
  <c r="H144" i="7" s="1"/>
  <c r="I145" i="2"/>
  <c r="J146" i="2"/>
  <c r="J146" i="7" s="1"/>
  <c r="H143" i="2"/>
  <c r="H143" i="7" s="1"/>
  <c r="I144" i="2"/>
  <c r="J145" i="2"/>
  <c r="J145" i="7" s="1"/>
  <c r="D147" i="2"/>
  <c r="I143" i="2"/>
  <c r="J144" i="2"/>
  <c r="J144" i="7" s="1"/>
  <c r="D146" i="2"/>
  <c r="D146" i="7" s="1"/>
  <c r="E147" i="2"/>
  <c r="D43" i="2"/>
  <c r="D43" i="7" s="1"/>
  <c r="E44" i="2"/>
  <c r="E44" i="7" s="1"/>
  <c r="F45" i="2"/>
  <c r="G46" i="2"/>
  <c r="H47" i="2"/>
  <c r="H47" i="7" s="1"/>
  <c r="E43" i="2"/>
  <c r="E43" i="7" s="1"/>
  <c r="F44" i="2"/>
  <c r="F44" i="7" s="1"/>
  <c r="G45" i="2"/>
  <c r="H46" i="2"/>
  <c r="I47" i="2"/>
  <c r="F43" i="2"/>
  <c r="F43" i="7" s="1"/>
  <c r="G44" i="2"/>
  <c r="G44" i="7" s="1"/>
  <c r="H45" i="2"/>
  <c r="I46" i="2"/>
  <c r="J47" i="2"/>
  <c r="J47" i="7" s="1"/>
  <c r="G43" i="2"/>
  <c r="G43" i="7" s="1"/>
  <c r="H44" i="2"/>
  <c r="H44" i="7" s="1"/>
  <c r="I45" i="2"/>
  <c r="J46" i="2"/>
  <c r="H43" i="2"/>
  <c r="H43" i="7" s="1"/>
  <c r="I44" i="2"/>
  <c r="J45" i="2"/>
  <c r="J45" i="7" s="1"/>
  <c r="D47" i="2"/>
  <c r="D47" i="7" s="1"/>
  <c r="I43" i="2"/>
  <c r="J44" i="2"/>
  <c r="J44" i="7" s="1"/>
  <c r="D46" i="2"/>
  <c r="E47" i="2"/>
  <c r="E47" i="7" s="1"/>
  <c r="J43" i="2"/>
  <c r="J43" i="7" s="1"/>
  <c r="D45" i="2"/>
  <c r="D45" i="7" s="1"/>
  <c r="E46" i="2"/>
  <c r="F47" i="2"/>
  <c r="F47" i="7" s="1"/>
  <c r="D44" i="2"/>
  <c r="D44" i="7" s="1"/>
  <c r="E45" i="2"/>
  <c r="F46" i="2"/>
  <c r="G47" i="2"/>
  <c r="G47" i="7" s="1"/>
  <c r="I48" i="2"/>
  <c r="J49" i="2"/>
  <c r="J49" i="7" s="1"/>
  <c r="D51" i="2"/>
  <c r="E52" i="2"/>
  <c r="J48" i="2"/>
  <c r="J48" i="7" s="1"/>
  <c r="D50" i="2"/>
  <c r="D50" i="7" s="1"/>
  <c r="E51" i="2"/>
  <c r="F52" i="2"/>
  <c r="D49" i="2"/>
  <c r="D49" i="7" s="1"/>
  <c r="E50" i="2"/>
  <c r="E50" i="7" s="1"/>
  <c r="F51" i="2"/>
  <c r="G52" i="2"/>
  <c r="D48" i="2"/>
  <c r="D48" i="7" s="1"/>
  <c r="E49" i="2"/>
  <c r="E49" i="7" s="1"/>
  <c r="F50" i="2"/>
  <c r="F50" i="7" s="1"/>
  <c r="G51" i="2"/>
  <c r="G51" i="7" s="1"/>
  <c r="H52" i="2"/>
  <c r="E48" i="2"/>
  <c r="E48" i="7" s="1"/>
  <c r="F49" i="2"/>
  <c r="F49" i="7" s="1"/>
  <c r="G50" i="2"/>
  <c r="G50" i="7" s="1"/>
  <c r="H51" i="2"/>
  <c r="I52" i="2"/>
  <c r="F48" i="2"/>
  <c r="F48" i="7" s="1"/>
  <c r="G49" i="2"/>
  <c r="G49" i="7" s="1"/>
  <c r="H50" i="2"/>
  <c r="H50" i="7" s="1"/>
  <c r="I51" i="2"/>
  <c r="J52" i="2"/>
  <c r="G48" i="2"/>
  <c r="G48" i="7" s="1"/>
  <c r="H49" i="2"/>
  <c r="H49" i="7" s="1"/>
  <c r="I50" i="2"/>
  <c r="J51" i="2"/>
  <c r="J51" i="7" s="1"/>
  <c r="H48" i="2"/>
  <c r="H48" i="7" s="1"/>
  <c r="I49" i="2"/>
  <c r="J50" i="2"/>
  <c r="J50" i="7" s="1"/>
  <c r="D52" i="2"/>
  <c r="F13" i="2"/>
  <c r="F13" i="7" s="1"/>
  <c r="G14" i="2"/>
  <c r="G14" i="7" s="1"/>
  <c r="H15" i="2"/>
  <c r="I16" i="2"/>
  <c r="J17" i="2"/>
  <c r="J17" i="7" s="1"/>
  <c r="G13" i="2"/>
  <c r="G13" i="7" s="1"/>
  <c r="H14" i="2"/>
  <c r="H14" i="7" s="1"/>
  <c r="I15" i="2"/>
  <c r="J16" i="2"/>
  <c r="H13" i="2"/>
  <c r="H13" i="7" s="1"/>
  <c r="I14" i="2"/>
  <c r="I14" i="7" s="1"/>
  <c r="J15" i="2"/>
  <c r="J15" i="7" s="1"/>
  <c r="D17" i="2"/>
  <c r="D17" i="7" s="1"/>
  <c r="I13" i="2"/>
  <c r="I13" i="7" s="1"/>
  <c r="J14" i="2"/>
  <c r="J14" i="7" s="1"/>
  <c r="D16" i="2"/>
  <c r="E17" i="2"/>
  <c r="E17" i="7" s="1"/>
  <c r="J13" i="2"/>
  <c r="J13" i="7" s="1"/>
  <c r="D15" i="2"/>
  <c r="D15" i="7" s="1"/>
  <c r="E16" i="2"/>
  <c r="F17" i="2"/>
  <c r="F17" i="7" s="1"/>
  <c r="D14" i="2"/>
  <c r="D14" i="7" s="1"/>
  <c r="E15" i="2"/>
  <c r="F16" i="2"/>
  <c r="G17" i="2"/>
  <c r="G17" i="7" s="1"/>
  <c r="D13" i="2"/>
  <c r="D13" i="7" s="1"/>
  <c r="E14" i="2"/>
  <c r="E14" i="7" s="1"/>
  <c r="F15" i="2"/>
  <c r="G16" i="2"/>
  <c r="H17" i="2"/>
  <c r="H17" i="7" s="1"/>
  <c r="E13" i="2"/>
  <c r="E13" i="7" s="1"/>
  <c r="F14" i="2"/>
  <c r="F14" i="7" s="1"/>
  <c r="G15" i="2"/>
  <c r="H16" i="2"/>
  <c r="I17" i="2"/>
  <c r="D19" i="2"/>
  <c r="D19" i="7" s="1"/>
  <c r="E20" i="2"/>
  <c r="E20" i="7" s="1"/>
  <c r="F21" i="2"/>
  <c r="G22" i="2"/>
  <c r="D18" i="2"/>
  <c r="D18" i="7" s="1"/>
  <c r="E19" i="2"/>
  <c r="E19" i="7" s="1"/>
  <c r="F20" i="2"/>
  <c r="F20" i="7" s="1"/>
  <c r="G21" i="2"/>
  <c r="H22" i="2"/>
  <c r="E18" i="2"/>
  <c r="E18" i="7" s="1"/>
  <c r="F19" i="2"/>
  <c r="F19" i="7" s="1"/>
  <c r="G20" i="2"/>
  <c r="G20" i="7" s="1"/>
  <c r="H21" i="2"/>
  <c r="I22" i="2"/>
  <c r="F18" i="2"/>
  <c r="F18" i="7" s="1"/>
  <c r="G19" i="2"/>
  <c r="G19" i="7" s="1"/>
  <c r="H20" i="2"/>
  <c r="H20" i="7" s="1"/>
  <c r="I21" i="2"/>
  <c r="J22" i="2"/>
  <c r="G18" i="2"/>
  <c r="G18" i="7" s="1"/>
  <c r="H19" i="2"/>
  <c r="H19" i="7" s="1"/>
  <c r="I20" i="2"/>
  <c r="J21" i="2"/>
  <c r="J21" i="7" s="1"/>
  <c r="H18" i="2"/>
  <c r="H18" i="7" s="1"/>
  <c r="I19" i="2"/>
  <c r="J20" i="2"/>
  <c r="J20" i="7" s="1"/>
  <c r="D22" i="2"/>
  <c r="I18" i="2"/>
  <c r="J19" i="2"/>
  <c r="J19" i="7" s="1"/>
  <c r="D21" i="2"/>
  <c r="D21" i="7" s="1"/>
  <c r="E22" i="2"/>
  <c r="J18" i="2"/>
  <c r="J18" i="7" s="1"/>
  <c r="D20" i="2"/>
  <c r="D20" i="7" s="1"/>
  <c r="E21" i="2"/>
  <c r="F22" i="2"/>
  <c r="J33" i="2"/>
  <c r="D35" i="2"/>
  <c r="D35" i="7" s="1"/>
  <c r="E36" i="2"/>
  <c r="E36" i="7" s="1"/>
  <c r="F37" i="2"/>
  <c r="F37" i="7" s="1"/>
  <c r="D34" i="2"/>
  <c r="E35" i="2"/>
  <c r="E35" i="7" s="1"/>
  <c r="F36" i="2"/>
  <c r="F36" i="7" s="1"/>
  <c r="G37" i="2"/>
  <c r="G37" i="7" s="1"/>
  <c r="D33" i="2"/>
  <c r="D33" i="7" s="1"/>
  <c r="E34" i="2"/>
  <c r="F35" i="2"/>
  <c r="F35" i="7" s="1"/>
  <c r="G36" i="2"/>
  <c r="G36" i="7" s="1"/>
  <c r="H37" i="2"/>
  <c r="H37" i="7" s="1"/>
  <c r="E33" i="2"/>
  <c r="F34" i="2"/>
  <c r="G35" i="2"/>
  <c r="G35" i="7" s="1"/>
  <c r="H36" i="2"/>
  <c r="H36" i="7" s="1"/>
  <c r="I37" i="2"/>
  <c r="F33" i="2"/>
  <c r="G34" i="2"/>
  <c r="H35" i="2"/>
  <c r="H35" i="7" s="1"/>
  <c r="I36" i="2"/>
  <c r="J37" i="2"/>
  <c r="J37" i="7" s="1"/>
  <c r="G33" i="2"/>
  <c r="H34" i="2"/>
  <c r="I35" i="2"/>
  <c r="J36" i="2"/>
  <c r="J36" i="7" s="1"/>
  <c r="H33" i="2"/>
  <c r="I34" i="2"/>
  <c r="J35" i="2"/>
  <c r="J35" i="7" s="1"/>
  <c r="D37" i="2"/>
  <c r="D37" i="7" s="1"/>
  <c r="I33" i="2"/>
  <c r="J34" i="2"/>
  <c r="D36" i="2"/>
  <c r="D36" i="7" s="1"/>
  <c r="E37" i="2"/>
  <c r="E37" i="7" s="1"/>
  <c r="G78" i="2"/>
  <c r="G78" i="7" s="1"/>
  <c r="H79" i="2"/>
  <c r="H79" i="7" s="1"/>
  <c r="I80" i="2"/>
  <c r="J81" i="2"/>
  <c r="J81" i="7" s="1"/>
  <c r="H78" i="2"/>
  <c r="H78" i="7" s="1"/>
  <c r="I79" i="2"/>
  <c r="J80" i="2"/>
  <c r="J80" i="7" s="1"/>
  <c r="D82" i="2"/>
  <c r="I78" i="2"/>
  <c r="J79" i="2"/>
  <c r="J79" i="7" s="1"/>
  <c r="D81" i="2"/>
  <c r="E82" i="2"/>
  <c r="J78" i="2"/>
  <c r="J78" i="7" s="1"/>
  <c r="D80" i="2"/>
  <c r="D80" i="7" s="1"/>
  <c r="E81" i="2"/>
  <c r="F82" i="2"/>
  <c r="D79" i="2"/>
  <c r="D79" i="7" s="1"/>
  <c r="E80" i="2"/>
  <c r="E80" i="7" s="1"/>
  <c r="F81" i="2"/>
  <c r="G82" i="2"/>
  <c r="D78" i="2"/>
  <c r="D78" i="7" s="1"/>
  <c r="E79" i="2"/>
  <c r="E79" i="7" s="1"/>
  <c r="F80" i="2"/>
  <c r="F80" i="7" s="1"/>
  <c r="G81" i="2"/>
  <c r="G81" i="7" s="1"/>
  <c r="H82" i="2"/>
  <c r="E78" i="2"/>
  <c r="E78" i="7" s="1"/>
  <c r="F79" i="2"/>
  <c r="F79" i="7" s="1"/>
  <c r="G80" i="2"/>
  <c r="G80" i="7" s="1"/>
  <c r="H81" i="2"/>
  <c r="I82" i="2"/>
  <c r="F78" i="2"/>
  <c r="F78" i="7" s="1"/>
  <c r="G79" i="2"/>
  <c r="G79" i="7" s="1"/>
  <c r="H80" i="2"/>
  <c r="H80" i="7" s="1"/>
  <c r="I81" i="2"/>
  <c r="J82" i="2"/>
  <c r="F53" i="2"/>
  <c r="F53" i="7" s="1"/>
  <c r="G54" i="2"/>
  <c r="G54" i="7" s="1"/>
  <c r="H55" i="2"/>
  <c r="H55" i="7" s="1"/>
  <c r="I56" i="2"/>
  <c r="J57" i="2"/>
  <c r="J57" i="7" s="1"/>
  <c r="G53" i="2"/>
  <c r="G53" i="7" s="1"/>
  <c r="H54" i="2"/>
  <c r="H54" i="7" s="1"/>
  <c r="I55" i="2"/>
  <c r="J56" i="2"/>
  <c r="J56" i="7" s="1"/>
  <c r="H53" i="2"/>
  <c r="H53" i="7" s="1"/>
  <c r="I54" i="2"/>
  <c r="J55" i="2"/>
  <c r="J55" i="7" s="1"/>
  <c r="D57" i="2"/>
  <c r="I53" i="2"/>
  <c r="J54" i="2"/>
  <c r="J54" i="7" s="1"/>
  <c r="D56" i="2"/>
  <c r="D56" i="7" s="1"/>
  <c r="E57" i="2"/>
  <c r="J53" i="2"/>
  <c r="J53" i="7" s="1"/>
  <c r="D55" i="2"/>
  <c r="D55" i="7" s="1"/>
  <c r="E56" i="2"/>
  <c r="E56" i="7" s="1"/>
  <c r="F57" i="2"/>
  <c r="D54" i="2"/>
  <c r="D54" i="7" s="1"/>
  <c r="E55" i="2"/>
  <c r="E55" i="7" s="1"/>
  <c r="F56" i="2"/>
  <c r="F56" i="7" s="1"/>
  <c r="G57" i="2"/>
  <c r="D53" i="2"/>
  <c r="D53" i="7" s="1"/>
  <c r="E54" i="2"/>
  <c r="E54" i="7" s="1"/>
  <c r="F55" i="2"/>
  <c r="F55" i="7" s="1"/>
  <c r="G56" i="2"/>
  <c r="G56" i="7" s="1"/>
  <c r="H57" i="2"/>
  <c r="E53" i="2"/>
  <c r="E53" i="7" s="1"/>
  <c r="F54" i="2"/>
  <c r="F54" i="7" s="1"/>
  <c r="G55" i="2"/>
  <c r="G55" i="7" s="1"/>
  <c r="H56" i="2"/>
  <c r="H56" i="7" s="1"/>
  <c r="I57" i="2"/>
  <c r="D3" i="2"/>
  <c r="E4" i="2"/>
  <c r="E4" i="7" s="1"/>
  <c r="F5" i="2"/>
  <c r="F5" i="7" s="1"/>
  <c r="G6" i="2"/>
  <c r="G6" i="7" s="1"/>
  <c r="H7" i="2"/>
  <c r="H7" i="7" s="1"/>
  <c r="E3" i="2"/>
  <c r="F4" i="2"/>
  <c r="F4" i="7" s="1"/>
  <c r="G5" i="2"/>
  <c r="G5" i="7" s="1"/>
  <c r="H6" i="2"/>
  <c r="H6" i="7" s="1"/>
  <c r="I7" i="2"/>
  <c r="I7" i="7" s="1"/>
  <c r="F3" i="2"/>
  <c r="G4" i="2"/>
  <c r="G4" i="7" s="1"/>
  <c r="H5" i="2"/>
  <c r="H5" i="7" s="1"/>
  <c r="I6" i="2"/>
  <c r="I6" i="7" s="1"/>
  <c r="J7" i="2"/>
  <c r="J7" i="7" s="1"/>
  <c r="G3" i="2"/>
  <c r="H4" i="2"/>
  <c r="H4" i="7" s="1"/>
  <c r="I5" i="2"/>
  <c r="I5" i="7" s="1"/>
  <c r="J6" i="2"/>
  <c r="J6" i="7" s="1"/>
  <c r="H3" i="2"/>
  <c r="I4" i="2"/>
  <c r="I4" i="7" s="1"/>
  <c r="J5" i="2"/>
  <c r="J5" i="7" s="1"/>
  <c r="D7" i="2"/>
  <c r="D7" i="7" s="1"/>
  <c r="I3" i="2"/>
  <c r="J4" i="2"/>
  <c r="J4" i="7" s="1"/>
  <c r="D6" i="2"/>
  <c r="D6" i="7" s="1"/>
  <c r="E7" i="2"/>
  <c r="E7" i="7" s="1"/>
  <c r="J3" i="2"/>
  <c r="D5" i="2"/>
  <c r="D5" i="7" s="1"/>
  <c r="E6" i="2"/>
  <c r="E6" i="7" s="1"/>
  <c r="F7" i="2"/>
  <c r="F7" i="7" s="1"/>
  <c r="D4" i="2"/>
  <c r="D4" i="7" s="1"/>
  <c r="E5" i="2"/>
  <c r="E5" i="7" s="1"/>
  <c r="F6" i="2"/>
  <c r="F6" i="7" s="1"/>
  <c r="G7" i="2"/>
  <c r="G7" i="7" s="1"/>
  <c r="I8" i="2"/>
  <c r="I8" i="7" s="1"/>
  <c r="J9" i="2"/>
  <c r="J9" i="7" s="1"/>
  <c r="D11" i="2"/>
  <c r="D11" i="7" s="1"/>
  <c r="E12" i="2"/>
  <c r="E12" i="7" s="1"/>
  <c r="J8" i="2"/>
  <c r="J8" i="7" s="1"/>
  <c r="D10" i="2"/>
  <c r="D10" i="7" s="1"/>
  <c r="E11" i="2"/>
  <c r="E11" i="7" s="1"/>
  <c r="F12" i="2"/>
  <c r="F12" i="7" s="1"/>
  <c r="D9" i="2"/>
  <c r="D9" i="7" s="1"/>
  <c r="E10" i="2"/>
  <c r="F11" i="2"/>
  <c r="F11" i="7" s="1"/>
  <c r="G12" i="2"/>
  <c r="G12" i="7" s="1"/>
  <c r="D8" i="2"/>
  <c r="D8" i="7" s="1"/>
  <c r="E9" i="2"/>
  <c r="E9" i="7" s="1"/>
  <c r="F10" i="2"/>
  <c r="G11" i="2"/>
  <c r="G11" i="7" s="1"/>
  <c r="H12" i="2"/>
  <c r="H12" i="7" s="1"/>
  <c r="E8" i="2"/>
  <c r="E8" i="7" s="1"/>
  <c r="F9" i="2"/>
  <c r="F9" i="7" s="1"/>
  <c r="G10" i="2"/>
  <c r="H11" i="2"/>
  <c r="H11" i="7" s="1"/>
  <c r="I12" i="2"/>
  <c r="I12" i="7" s="1"/>
  <c r="F8" i="2"/>
  <c r="F8" i="7" s="1"/>
  <c r="G9" i="2"/>
  <c r="G9" i="7" s="1"/>
  <c r="H10" i="2"/>
  <c r="I11" i="2"/>
  <c r="I11" i="7" s="1"/>
  <c r="J12" i="2"/>
  <c r="J12" i="7" s="1"/>
  <c r="G8" i="2"/>
  <c r="G8" i="7" s="1"/>
  <c r="H9" i="2"/>
  <c r="H9" i="7" s="1"/>
  <c r="I10" i="2"/>
  <c r="J11" i="2"/>
  <c r="J11" i="7" s="1"/>
  <c r="H8" i="2"/>
  <c r="H8" i="7" s="1"/>
  <c r="I9" i="2"/>
  <c r="I9" i="7" s="1"/>
  <c r="J10" i="2"/>
  <c r="J10" i="7" s="1"/>
  <c r="D12" i="2"/>
  <c r="D12" i="7" s="1"/>
  <c r="H63" i="2"/>
  <c r="I64" i="2"/>
  <c r="J65" i="2"/>
  <c r="J65" i="7" s="1"/>
  <c r="D67" i="2"/>
  <c r="D67" i="7" s="1"/>
  <c r="I63" i="2"/>
  <c r="J64" i="2"/>
  <c r="D66" i="2"/>
  <c r="D66" i="7" s="1"/>
  <c r="E67" i="2"/>
  <c r="E67" i="7" s="1"/>
  <c r="J63" i="2"/>
  <c r="J63" i="7" s="1"/>
  <c r="D65" i="2"/>
  <c r="D65" i="7" s="1"/>
  <c r="E66" i="2"/>
  <c r="E66" i="7" s="1"/>
  <c r="F67" i="2"/>
  <c r="F67" i="7" s="1"/>
  <c r="D64" i="2"/>
  <c r="E65" i="2"/>
  <c r="E65" i="7" s="1"/>
  <c r="F66" i="2"/>
  <c r="F66" i="7" s="1"/>
  <c r="G67" i="2"/>
  <c r="G67" i="7" s="1"/>
  <c r="D63" i="2"/>
  <c r="E64" i="2"/>
  <c r="F65" i="2"/>
  <c r="F65" i="7" s="1"/>
  <c r="G66" i="2"/>
  <c r="G66" i="7" s="1"/>
  <c r="H67" i="2"/>
  <c r="H67" i="7" s="1"/>
  <c r="E63" i="2"/>
  <c r="F64" i="2"/>
  <c r="G65" i="2"/>
  <c r="G65" i="7" s="1"/>
  <c r="H66" i="2"/>
  <c r="H66" i="7" s="1"/>
  <c r="I67" i="2"/>
  <c r="F63" i="2"/>
  <c r="G64" i="2"/>
  <c r="H65" i="2"/>
  <c r="H65" i="7" s="1"/>
  <c r="I66" i="2"/>
  <c r="J67" i="2"/>
  <c r="J67" i="7" s="1"/>
  <c r="G63" i="2"/>
  <c r="G63" i="7" s="1"/>
  <c r="H64" i="2"/>
  <c r="I65" i="2"/>
  <c r="J66" i="2"/>
  <c r="J66" i="7" s="1"/>
  <c r="E68" i="2"/>
  <c r="E68" i="7" s="1"/>
  <c r="F69" i="2"/>
  <c r="G70" i="2"/>
  <c r="H71" i="2"/>
  <c r="H71" i="7" s="1"/>
  <c r="I72" i="2"/>
  <c r="F68" i="2"/>
  <c r="F68" i="7" s="1"/>
  <c r="G69" i="2"/>
  <c r="H70" i="2"/>
  <c r="I71" i="2"/>
  <c r="J72" i="2"/>
  <c r="J72" i="7" s="1"/>
  <c r="G68" i="2"/>
  <c r="G68" i="7" s="1"/>
  <c r="H69" i="2"/>
  <c r="I70" i="2"/>
  <c r="J71" i="2"/>
  <c r="J71" i="7" s="1"/>
  <c r="H68" i="2"/>
  <c r="H68" i="7" s="1"/>
  <c r="I69" i="2"/>
  <c r="J70" i="2"/>
  <c r="D72" i="2"/>
  <c r="D72" i="7" s="1"/>
  <c r="I68" i="2"/>
  <c r="J69" i="2"/>
  <c r="J69" i="7" s="1"/>
  <c r="D71" i="2"/>
  <c r="D71" i="7" s="1"/>
  <c r="E72" i="2"/>
  <c r="E72" i="7" s="1"/>
  <c r="J68" i="2"/>
  <c r="J68" i="7" s="1"/>
  <c r="D70" i="2"/>
  <c r="E71" i="2"/>
  <c r="E71" i="7" s="1"/>
  <c r="F72" i="2"/>
  <c r="F72" i="7" s="1"/>
  <c r="D69" i="2"/>
  <c r="E70" i="2"/>
  <c r="F71" i="2"/>
  <c r="F71" i="7" s="1"/>
  <c r="G72" i="2"/>
  <c r="G72" i="7" s="1"/>
  <c r="D68" i="2"/>
  <c r="D68" i="7" s="1"/>
  <c r="E69" i="2"/>
  <c r="F70" i="2"/>
  <c r="G71" i="2"/>
  <c r="G71" i="7" s="1"/>
  <c r="H72" i="2"/>
  <c r="H72" i="7" s="1"/>
  <c r="J73" i="2"/>
  <c r="J73" i="7" s="1"/>
  <c r="D75" i="2"/>
  <c r="E76" i="2"/>
  <c r="F77" i="2"/>
  <c r="F77" i="7" s="1"/>
  <c r="D74" i="2"/>
  <c r="D74" i="7" s="1"/>
  <c r="E75" i="2"/>
  <c r="F76" i="2"/>
  <c r="G77" i="2"/>
  <c r="G77" i="7" s="1"/>
  <c r="D73" i="2"/>
  <c r="D73" i="7" s="1"/>
  <c r="E74" i="2"/>
  <c r="E74" i="7" s="1"/>
  <c r="F75" i="2"/>
  <c r="F75" i="7" s="1"/>
  <c r="G76" i="2"/>
  <c r="H77" i="2"/>
  <c r="H77" i="7" s="1"/>
  <c r="E73" i="2"/>
  <c r="E73" i="7" s="1"/>
  <c r="F74" i="2"/>
  <c r="F74" i="7" s="1"/>
  <c r="G75" i="2"/>
  <c r="H76" i="2"/>
  <c r="I77" i="2"/>
  <c r="F73" i="2"/>
  <c r="F73" i="7" s="1"/>
  <c r="G74" i="2"/>
  <c r="G74" i="7" s="1"/>
  <c r="H75" i="2"/>
  <c r="I76" i="2"/>
  <c r="J77" i="2"/>
  <c r="J77" i="7" s="1"/>
  <c r="G73" i="2"/>
  <c r="G73" i="7" s="1"/>
  <c r="H74" i="2"/>
  <c r="H74" i="7" s="1"/>
  <c r="I75" i="2"/>
  <c r="J76" i="2"/>
  <c r="H73" i="2"/>
  <c r="H73" i="7" s="1"/>
  <c r="I74" i="2"/>
  <c r="J75" i="2"/>
  <c r="J75" i="7" s="1"/>
  <c r="D77" i="2"/>
  <c r="D77" i="7" s="1"/>
  <c r="I73" i="2"/>
  <c r="J74" i="2"/>
  <c r="J74" i="7" s="1"/>
  <c r="D76" i="2"/>
  <c r="E77" i="2"/>
  <c r="E77" i="7" s="1"/>
  <c r="D83" i="2"/>
  <c r="D83" i="7" s="1"/>
  <c r="E84" i="2"/>
  <c r="E84" i="7" s="1"/>
  <c r="F85" i="2"/>
  <c r="F85" i="7" s="1"/>
  <c r="G86" i="2"/>
  <c r="G86" i="7" s="1"/>
  <c r="H87" i="2"/>
  <c r="E83" i="2"/>
  <c r="E83" i="7" s="1"/>
  <c r="F84" i="2"/>
  <c r="F84" i="7" s="1"/>
  <c r="G85" i="2"/>
  <c r="G85" i="7" s="1"/>
  <c r="H86" i="2"/>
  <c r="H86" i="7" s="1"/>
  <c r="I87" i="2"/>
  <c r="F83" i="2"/>
  <c r="F83" i="7" s="1"/>
  <c r="G84" i="2"/>
  <c r="G84" i="7" s="1"/>
  <c r="H85" i="2"/>
  <c r="H85" i="7" s="1"/>
  <c r="I86" i="2"/>
  <c r="J87" i="2"/>
  <c r="J87" i="7" s="1"/>
  <c r="G83" i="2"/>
  <c r="G83" i="7" s="1"/>
  <c r="H84" i="2"/>
  <c r="H84" i="7" s="1"/>
  <c r="I85" i="2"/>
  <c r="J86" i="2"/>
  <c r="J86" i="7" s="1"/>
  <c r="H83" i="2"/>
  <c r="H83" i="7" s="1"/>
  <c r="I84" i="2"/>
  <c r="J85" i="2"/>
  <c r="J85" i="7" s="1"/>
  <c r="D87" i="2"/>
  <c r="I83" i="2"/>
  <c r="J84" i="2"/>
  <c r="J84" i="7" s="1"/>
  <c r="D86" i="2"/>
  <c r="D86" i="7" s="1"/>
  <c r="E87" i="2"/>
  <c r="J83" i="2"/>
  <c r="J83" i="7" s="1"/>
  <c r="D85" i="2"/>
  <c r="D85" i="7" s="1"/>
  <c r="E86" i="2"/>
  <c r="E86" i="7" s="1"/>
  <c r="F87" i="2"/>
  <c r="D84" i="2"/>
  <c r="D84" i="7" s="1"/>
  <c r="E85" i="2"/>
  <c r="E85" i="7" s="1"/>
  <c r="F86" i="2"/>
  <c r="F86" i="7" s="1"/>
  <c r="G87" i="2"/>
  <c r="G87" i="7" s="1"/>
  <c r="J103" i="2"/>
  <c r="J103" i="7" s="1"/>
  <c r="D105" i="2"/>
  <c r="E106" i="2"/>
  <c r="F107" i="2"/>
  <c r="F107" i="7" s="1"/>
  <c r="D104" i="2"/>
  <c r="D104" i="7" s="1"/>
  <c r="E105" i="2"/>
  <c r="F106" i="2"/>
  <c r="G107" i="2"/>
  <c r="G107" i="7" s="1"/>
  <c r="D103" i="2"/>
  <c r="D103" i="7" s="1"/>
  <c r="E104" i="2"/>
  <c r="E104" i="7" s="1"/>
  <c r="F105" i="2"/>
  <c r="G106" i="2"/>
  <c r="H107" i="2"/>
  <c r="H107" i="7" s="1"/>
  <c r="E103" i="2"/>
  <c r="E103" i="7" s="1"/>
  <c r="F104" i="2"/>
  <c r="F104" i="7" s="1"/>
  <c r="G105" i="2"/>
  <c r="H106" i="2"/>
  <c r="I107" i="2"/>
  <c r="F103" i="2"/>
  <c r="F103" i="7" s="1"/>
  <c r="G104" i="2"/>
  <c r="G104" i="7" s="1"/>
  <c r="H105" i="2"/>
  <c r="I106" i="2"/>
  <c r="J107" i="2"/>
  <c r="J107" i="7" s="1"/>
  <c r="G103" i="2"/>
  <c r="G103" i="7" s="1"/>
  <c r="H104" i="2"/>
  <c r="H104" i="7" s="1"/>
  <c r="I105" i="2"/>
  <c r="J106" i="2"/>
  <c r="H103" i="2"/>
  <c r="H103" i="7" s="1"/>
  <c r="I104" i="2"/>
  <c r="J105" i="2"/>
  <c r="J105" i="7" s="1"/>
  <c r="D107" i="2"/>
  <c r="D107" i="7" s="1"/>
  <c r="I103" i="2"/>
  <c r="J104" i="2"/>
  <c r="J104" i="7" s="1"/>
  <c r="D106" i="2"/>
  <c r="E107" i="2"/>
  <c r="E107" i="7" s="1"/>
  <c r="F123" i="2"/>
  <c r="G124" i="2"/>
  <c r="H125" i="2"/>
  <c r="H125" i="7" s="1"/>
  <c r="I126" i="2"/>
  <c r="J127" i="2"/>
  <c r="J127" i="7" s="1"/>
  <c r="G123" i="2"/>
  <c r="G123" i="7" s="1"/>
  <c r="H124" i="2"/>
  <c r="I125" i="2"/>
  <c r="J126" i="2"/>
  <c r="J126" i="7" s="1"/>
  <c r="H123" i="2"/>
  <c r="I124" i="2"/>
  <c r="J125" i="2"/>
  <c r="J125" i="7" s="1"/>
  <c r="D127" i="2"/>
  <c r="D127" i="7" s="1"/>
  <c r="I123" i="2"/>
  <c r="J124" i="2"/>
  <c r="D126" i="2"/>
  <c r="D126" i="7" s="1"/>
  <c r="E127" i="2"/>
  <c r="E127" i="7" s="1"/>
  <c r="J123" i="2"/>
  <c r="J123" i="7" s="1"/>
  <c r="D125" i="2"/>
  <c r="D125" i="7" s="1"/>
  <c r="E126" i="2"/>
  <c r="E126" i="7" s="1"/>
  <c r="F127" i="2"/>
  <c r="F127" i="7" s="1"/>
  <c r="D124" i="2"/>
  <c r="E125" i="2"/>
  <c r="E125" i="7" s="1"/>
  <c r="F126" i="2"/>
  <c r="F126" i="7" s="1"/>
  <c r="G127" i="2"/>
  <c r="G127" i="7" s="1"/>
  <c r="D123" i="2"/>
  <c r="E124" i="2"/>
  <c r="F125" i="2"/>
  <c r="F125" i="7" s="1"/>
  <c r="G126" i="2"/>
  <c r="G126" i="7" s="1"/>
  <c r="H127" i="2"/>
  <c r="H127" i="7" s="1"/>
  <c r="E123" i="2"/>
  <c r="F124" i="2"/>
  <c r="G125" i="2"/>
  <c r="G125" i="7" s="1"/>
  <c r="H126" i="2"/>
  <c r="H126" i="7" s="1"/>
  <c r="I127" i="2"/>
  <c r="E138" i="2"/>
  <c r="E138" i="7" s="1"/>
  <c r="F139" i="2"/>
  <c r="F139" i="7" s="1"/>
  <c r="G140" i="2"/>
  <c r="G140" i="7" s="1"/>
  <c r="H141" i="2"/>
  <c r="I142" i="2"/>
  <c r="F138" i="2"/>
  <c r="F138" i="7" s="1"/>
  <c r="G139" i="2"/>
  <c r="G139" i="7" s="1"/>
  <c r="H140" i="2"/>
  <c r="H140" i="7" s="1"/>
  <c r="I141" i="2"/>
  <c r="J142" i="2"/>
  <c r="G138" i="2"/>
  <c r="G138" i="7" s="1"/>
  <c r="H139" i="2"/>
  <c r="H139" i="7" s="1"/>
  <c r="I140" i="2"/>
  <c r="J141" i="2"/>
  <c r="H138" i="2"/>
  <c r="H138" i="7" s="1"/>
  <c r="I139" i="2"/>
  <c r="J140" i="2"/>
  <c r="J140" i="7" s="1"/>
  <c r="D142" i="2"/>
  <c r="I138" i="2"/>
  <c r="J139" i="2"/>
  <c r="J139" i="7" s="1"/>
  <c r="D141" i="2"/>
  <c r="E142" i="2"/>
  <c r="J138" i="2"/>
  <c r="J138" i="7" s="1"/>
  <c r="D140" i="2"/>
  <c r="D140" i="7" s="1"/>
  <c r="E141" i="2"/>
  <c r="F142" i="2"/>
  <c r="D139" i="2"/>
  <c r="D139" i="7" s="1"/>
  <c r="E140" i="2"/>
  <c r="E140" i="7" s="1"/>
  <c r="F141" i="2"/>
  <c r="G142" i="2"/>
  <c r="D138" i="2"/>
  <c r="D138" i="7" s="1"/>
  <c r="E139" i="2"/>
  <c r="E139" i="7" s="1"/>
  <c r="F140" i="2"/>
  <c r="F140" i="7" s="1"/>
  <c r="G141" i="2"/>
  <c r="H142" i="2"/>
  <c r="B213" i="3"/>
  <c r="B255" i="3"/>
  <c r="B291" i="3"/>
  <c r="B261" i="3"/>
  <c r="B219" i="3"/>
  <c r="B231" i="3"/>
  <c r="B207" i="3"/>
  <c r="B267" i="3"/>
  <c r="B243" i="3"/>
  <c r="B285" i="3"/>
  <c r="B195" i="3"/>
  <c r="B237" i="3"/>
  <c r="B279" i="3"/>
  <c r="B201" i="7"/>
  <c r="B225" i="7"/>
  <c r="B249" i="7"/>
  <c r="B273" i="7"/>
  <c r="B297" i="7"/>
  <c r="B189" i="2"/>
  <c r="D30" i="14"/>
  <c r="B183" i="7"/>
  <c r="B21" i="2"/>
  <c r="B63" i="2"/>
  <c r="B159" i="2"/>
  <c r="B75" i="7"/>
  <c r="B308" i="7" s="1"/>
  <c r="B314" i="7" s="1"/>
  <c r="B15" i="2"/>
  <c r="B111" i="2"/>
  <c r="B159" i="7"/>
  <c r="B117" i="2"/>
  <c r="B33" i="2"/>
  <c r="B129" i="2"/>
  <c r="B51" i="2"/>
  <c r="B147" i="2"/>
  <c r="B69" i="2"/>
  <c r="B165" i="2"/>
  <c r="B81" i="2"/>
  <c r="B45" i="7"/>
  <c r="BB3" i="3"/>
  <c r="B99" i="2"/>
  <c r="B135" i="7"/>
  <c r="BR3" i="3"/>
  <c r="B3" i="2"/>
  <c r="B9" i="2"/>
  <c r="B57" i="2"/>
  <c r="B105" i="2"/>
  <c r="B153" i="2"/>
  <c r="B27" i="2"/>
  <c r="B75" i="2"/>
  <c r="B123" i="2"/>
  <c r="B171" i="2"/>
  <c r="B177" i="2"/>
  <c r="B39" i="2"/>
  <c r="B87" i="2"/>
  <c r="B135" i="2"/>
  <c r="B183" i="2"/>
  <c r="B45" i="2"/>
  <c r="B93" i="2"/>
  <c r="B141" i="2"/>
  <c r="B11" i="12"/>
  <c r="R11" i="12"/>
  <c r="J11" i="12"/>
  <c r="Q11" i="12"/>
  <c r="I11" i="12"/>
  <c r="P11" i="12"/>
  <c r="H11" i="12"/>
  <c r="O11" i="12"/>
  <c r="G11" i="12"/>
  <c r="N11" i="12"/>
  <c r="F11" i="12"/>
  <c r="M11" i="12"/>
  <c r="E11" i="12"/>
  <c r="T11" i="12"/>
  <c r="L11" i="12"/>
  <c r="D11" i="12"/>
  <c r="S11" i="12"/>
  <c r="K11" i="12"/>
  <c r="C11" i="12"/>
  <c r="J13" i="12"/>
  <c r="S13" i="12"/>
  <c r="L13" i="12"/>
  <c r="B13" i="12"/>
  <c r="R13" i="12"/>
  <c r="E13" i="12"/>
  <c r="O13" i="12"/>
  <c r="G13" i="12"/>
  <c r="Q13" i="12"/>
  <c r="I13" i="12"/>
  <c r="F13" i="12"/>
  <c r="P13" i="12"/>
  <c r="H13" i="12"/>
  <c r="C13" i="12"/>
  <c r="M13" i="12"/>
  <c r="T13" i="12"/>
  <c r="N13" i="12"/>
  <c r="D13" i="12"/>
  <c r="K13" i="12"/>
  <c r="H20" i="13" l="1"/>
  <c r="E29" i="13" s="1"/>
  <c r="O26" i="6"/>
  <c r="M26" i="6"/>
  <c r="M5" i="13"/>
  <c r="L18" i="13" s="1"/>
  <c r="H18" i="13"/>
  <c r="E26" i="6"/>
  <c r="E28" i="6" s="1"/>
  <c r="E38" i="6" s="1"/>
  <c r="D42" i="6" s="1"/>
  <c r="B3" i="7"/>
  <c r="M3" i="7"/>
  <c r="M3" i="3"/>
  <c r="B320" i="7"/>
  <c r="C320" i="7" s="1"/>
  <c r="C314" i="7"/>
  <c r="C308" i="7"/>
  <c r="J20" i="13"/>
  <c r="E30" i="13" s="1"/>
  <c r="J19" i="13"/>
  <c r="D30" i="13" s="1"/>
  <c r="I303" i="2"/>
  <c r="G303" i="2"/>
  <c r="E303" i="2"/>
  <c r="J3" i="7"/>
  <c r="J303" i="2"/>
  <c r="H303" i="2"/>
  <c r="F303" i="2"/>
  <c r="F282" i="7"/>
  <c r="BF282" i="3"/>
  <c r="BV282" i="3" s="1"/>
  <c r="F257" i="7"/>
  <c r="BF257" i="3"/>
  <c r="BV257" i="3" s="1"/>
  <c r="G300" i="7"/>
  <c r="BG300" i="3"/>
  <c r="BW300" i="3" s="1"/>
  <c r="I246" i="7"/>
  <c r="BI246" i="3"/>
  <c r="BY246" i="3" s="1"/>
  <c r="J288" i="7"/>
  <c r="BJ288" i="3"/>
  <c r="BZ288" i="3" s="1"/>
  <c r="BH246" i="3"/>
  <c r="BX246" i="3" s="1"/>
  <c r="H246" i="7"/>
  <c r="G270" i="7"/>
  <c r="BG270" i="3"/>
  <c r="BW270" i="3" s="1"/>
  <c r="F294" i="7"/>
  <c r="BF294" i="3"/>
  <c r="BV294" i="3" s="1"/>
  <c r="H283" i="7"/>
  <c r="BH283" i="3"/>
  <c r="BX283" i="3" s="1"/>
  <c r="G282" i="7"/>
  <c r="BG282" i="3"/>
  <c r="BW282" i="3" s="1"/>
  <c r="I301" i="7"/>
  <c r="BI301" i="3"/>
  <c r="BY301" i="3" s="1"/>
  <c r="I269" i="7"/>
  <c r="BI269" i="3"/>
  <c r="BY269" i="3" s="1"/>
  <c r="E273" i="7"/>
  <c r="BE273" i="3"/>
  <c r="BU273" i="3" s="1"/>
  <c r="J285" i="7"/>
  <c r="BJ285" i="3"/>
  <c r="BZ285" i="3" s="1"/>
  <c r="J218" i="7"/>
  <c r="BJ218" i="3"/>
  <c r="BZ218" i="3" s="1"/>
  <c r="E281" i="7"/>
  <c r="BE281" i="3"/>
  <c r="BU281" i="3" s="1"/>
  <c r="J293" i="7"/>
  <c r="BJ293" i="3"/>
  <c r="BZ293" i="3" s="1"/>
  <c r="I209" i="7"/>
  <c r="BI209" i="3"/>
  <c r="BY209" i="3" s="1"/>
  <c r="F265" i="7"/>
  <c r="BF265" i="3"/>
  <c r="BV265" i="3" s="1"/>
  <c r="J254" i="7"/>
  <c r="BJ254" i="3"/>
  <c r="BZ254" i="3" s="1"/>
  <c r="BH222" i="3"/>
  <c r="BX222" i="3" s="1"/>
  <c r="H222" i="7"/>
  <c r="E298" i="7"/>
  <c r="BE298" i="3"/>
  <c r="BU298" i="3" s="1"/>
  <c r="I286" i="7"/>
  <c r="BI286" i="3"/>
  <c r="BY286" i="3" s="1"/>
  <c r="G276" i="7"/>
  <c r="BG276" i="3"/>
  <c r="BW276" i="3" s="1"/>
  <c r="E266" i="7"/>
  <c r="BE266" i="3"/>
  <c r="BU266" i="3" s="1"/>
  <c r="I254" i="7"/>
  <c r="BI254" i="3"/>
  <c r="BY254" i="3" s="1"/>
  <c r="BG244" i="3"/>
  <c r="BW244" i="3" s="1"/>
  <c r="G244" i="7"/>
  <c r="F222" i="7"/>
  <c r="BF222" i="3"/>
  <c r="BV222" i="3" s="1"/>
  <c r="BF258" i="3"/>
  <c r="BV258" i="3" s="1"/>
  <c r="F258" i="7"/>
  <c r="F236" i="7"/>
  <c r="BF236" i="3"/>
  <c r="BV236" i="3" s="1"/>
  <c r="J296" i="7"/>
  <c r="BJ296" i="3"/>
  <c r="BZ296" i="3" s="1"/>
  <c r="BH286" i="3"/>
  <c r="BX286" i="3" s="1"/>
  <c r="H286" i="7"/>
  <c r="F276" i="7"/>
  <c r="BF276" i="3"/>
  <c r="BV276" i="3" s="1"/>
  <c r="J264" i="7"/>
  <c r="BJ264" i="3"/>
  <c r="BZ264" i="3" s="1"/>
  <c r="H254" i="7"/>
  <c r="BH254" i="3"/>
  <c r="BX254" i="3" s="1"/>
  <c r="F244" i="7"/>
  <c r="BF244" i="3"/>
  <c r="BV244" i="3" s="1"/>
  <c r="G221" i="7"/>
  <c r="BG221" i="3"/>
  <c r="BW221" i="3" s="1"/>
  <c r="E300" i="7"/>
  <c r="BE300" i="3"/>
  <c r="BU300" i="3" s="1"/>
  <c r="I288" i="7"/>
  <c r="BI288" i="3"/>
  <c r="BY288" i="3" s="1"/>
  <c r="G278" i="7"/>
  <c r="BG278" i="3"/>
  <c r="BW278" i="3" s="1"/>
  <c r="E268" i="7"/>
  <c r="BE268" i="3"/>
  <c r="BU268" i="3" s="1"/>
  <c r="I256" i="7"/>
  <c r="BI256" i="3"/>
  <c r="BY256" i="3" s="1"/>
  <c r="G246" i="7"/>
  <c r="BG246" i="3"/>
  <c r="BW246" i="3" s="1"/>
  <c r="BJ234" i="3"/>
  <c r="BZ234" i="3" s="1"/>
  <c r="J234" i="7"/>
  <c r="F302" i="7"/>
  <c r="BF302" i="3"/>
  <c r="BV302" i="3" s="1"/>
  <c r="J290" i="7"/>
  <c r="BJ290" i="3"/>
  <c r="BZ290" i="3" s="1"/>
  <c r="H280" i="7"/>
  <c r="BH280" i="3"/>
  <c r="BX280" i="3" s="1"/>
  <c r="F270" i="7"/>
  <c r="BF270" i="3"/>
  <c r="BV270" i="3" s="1"/>
  <c r="J258" i="7"/>
  <c r="BJ258" i="3"/>
  <c r="BZ258" i="3" s="1"/>
  <c r="H248" i="7"/>
  <c r="BH248" i="3"/>
  <c r="BX248" i="3" s="1"/>
  <c r="BF238" i="3"/>
  <c r="BV238" i="3" s="1"/>
  <c r="F238" i="7"/>
  <c r="G197" i="7"/>
  <c r="BG197" i="3"/>
  <c r="BW197" i="3" s="1"/>
  <c r="J291" i="7"/>
  <c r="BJ291" i="3"/>
  <c r="BZ291" i="3" s="1"/>
  <c r="H281" i="7"/>
  <c r="BH281" i="3"/>
  <c r="BX281" i="3" s="1"/>
  <c r="F271" i="7"/>
  <c r="BF271" i="3"/>
  <c r="BV271" i="3" s="1"/>
  <c r="J259" i="7"/>
  <c r="BJ259" i="3"/>
  <c r="BZ259" i="3" s="1"/>
  <c r="H249" i="7"/>
  <c r="BH249" i="3"/>
  <c r="BX249" i="3" s="1"/>
  <c r="F239" i="7"/>
  <c r="BF239" i="3"/>
  <c r="BV239" i="3" s="1"/>
  <c r="BI201" i="3"/>
  <c r="BY201" i="3" s="1"/>
  <c r="J292" i="7"/>
  <c r="BJ292" i="3"/>
  <c r="BZ292" i="3" s="1"/>
  <c r="H282" i="7"/>
  <c r="BH282" i="3"/>
  <c r="BX282" i="3" s="1"/>
  <c r="F272" i="7"/>
  <c r="BF272" i="3"/>
  <c r="BV272" i="3" s="1"/>
  <c r="J260" i="7"/>
  <c r="BJ260" i="3"/>
  <c r="BZ260" i="3" s="1"/>
  <c r="H250" i="7"/>
  <c r="BH250" i="3"/>
  <c r="BX250" i="3" s="1"/>
  <c r="F240" i="7"/>
  <c r="BF240" i="3"/>
  <c r="BV240" i="3" s="1"/>
  <c r="G205" i="7"/>
  <c r="BG205" i="3"/>
  <c r="BW205" i="3" s="1"/>
  <c r="BF229" i="3"/>
  <c r="BV229" i="3" s="1"/>
  <c r="F229" i="7"/>
  <c r="J217" i="7"/>
  <c r="BJ217" i="3"/>
  <c r="BZ217" i="3" s="1"/>
  <c r="H207" i="7"/>
  <c r="BH207" i="3"/>
  <c r="BX207" i="3" s="1"/>
  <c r="F197" i="7"/>
  <c r="BF197" i="3"/>
  <c r="BV197" i="3" s="1"/>
  <c r="J227" i="7"/>
  <c r="BJ227" i="3"/>
  <c r="BZ227" i="3" s="1"/>
  <c r="H217" i="7"/>
  <c r="BH217" i="3"/>
  <c r="BX217" i="3" s="1"/>
  <c r="F207" i="7"/>
  <c r="BF207" i="3"/>
  <c r="BV207" i="3" s="1"/>
  <c r="J195" i="7"/>
  <c r="BJ195" i="3"/>
  <c r="BZ195" i="3" s="1"/>
  <c r="H226" i="7"/>
  <c r="BH226" i="3"/>
  <c r="BX226" i="3" s="1"/>
  <c r="F216" i="7"/>
  <c r="BF216" i="3"/>
  <c r="BV216" i="3" s="1"/>
  <c r="J204" i="7"/>
  <c r="BJ204" i="3"/>
  <c r="BZ204" i="3" s="1"/>
  <c r="H235" i="7"/>
  <c r="BH235" i="3"/>
  <c r="BX235" i="3" s="1"/>
  <c r="F225" i="7"/>
  <c r="BF225" i="3"/>
  <c r="BV225" i="3" s="1"/>
  <c r="J213" i="7"/>
  <c r="BJ213" i="3"/>
  <c r="BZ213" i="3" s="1"/>
  <c r="H203" i="7"/>
  <c r="BH203" i="3"/>
  <c r="BX203" i="3" s="1"/>
  <c r="G235" i="7"/>
  <c r="BG235" i="3"/>
  <c r="BW235" i="3" s="1"/>
  <c r="E225" i="7"/>
  <c r="BE225" i="3"/>
  <c r="BU225" i="3" s="1"/>
  <c r="I213" i="7"/>
  <c r="BI213" i="3"/>
  <c r="BY213" i="3" s="1"/>
  <c r="G203" i="7"/>
  <c r="BG203" i="3"/>
  <c r="BW203" i="3" s="1"/>
  <c r="F235" i="7"/>
  <c r="BF235" i="3"/>
  <c r="BV235" i="3" s="1"/>
  <c r="J223" i="7"/>
  <c r="BJ223" i="3"/>
  <c r="BZ223" i="3" s="1"/>
  <c r="H213" i="7"/>
  <c r="BH213" i="3"/>
  <c r="BX213" i="3" s="1"/>
  <c r="F203" i="7"/>
  <c r="BF203" i="3"/>
  <c r="BV203" i="3" s="1"/>
  <c r="E296" i="7"/>
  <c r="BE296" i="3"/>
  <c r="BU296" i="3" s="1"/>
  <c r="H299" i="7"/>
  <c r="BH299" i="3"/>
  <c r="BX299" i="3" s="1"/>
  <c r="G275" i="7"/>
  <c r="BG275" i="3"/>
  <c r="BW275" i="3" s="1"/>
  <c r="I278" i="7"/>
  <c r="BI278" i="3"/>
  <c r="BY278" i="3" s="1"/>
  <c r="G231" i="7"/>
  <c r="BG231" i="3"/>
  <c r="BW231" i="3" s="1"/>
  <c r="H278" i="7"/>
  <c r="BH278" i="3"/>
  <c r="BX278" i="3" s="1"/>
  <c r="E235" i="7"/>
  <c r="BE235" i="3"/>
  <c r="BU235" i="3" s="1"/>
  <c r="E260" i="7"/>
  <c r="BE260" i="3"/>
  <c r="BU260" i="3" s="1"/>
  <c r="J282" i="7"/>
  <c r="BJ282" i="3"/>
  <c r="BZ282" i="3" s="1"/>
  <c r="J269" i="7"/>
  <c r="BJ269" i="3"/>
  <c r="BZ269" i="3" s="1"/>
  <c r="J277" i="7"/>
  <c r="BJ277" i="3"/>
  <c r="BZ277" i="3" s="1"/>
  <c r="E288" i="7"/>
  <c r="BE288" i="3"/>
  <c r="BU288" i="3" s="1"/>
  <c r="J253" i="7"/>
  <c r="BJ253" i="3"/>
  <c r="BZ253" i="3" s="1"/>
  <c r="H268" i="7"/>
  <c r="BH268" i="3"/>
  <c r="BX268" i="3" s="1"/>
  <c r="F281" i="7"/>
  <c r="BF281" i="3"/>
  <c r="BV281" i="3" s="1"/>
  <c r="F297" i="7"/>
  <c r="BF297" i="3"/>
  <c r="BV297" i="3" s="1"/>
  <c r="H276" i="7"/>
  <c r="BH276" i="3"/>
  <c r="BX276" i="3" s="1"/>
  <c r="F289" i="7"/>
  <c r="BF289" i="3"/>
  <c r="BV289" i="3" s="1"/>
  <c r="BJ302" i="3"/>
  <c r="BZ302" i="3" s="1"/>
  <c r="J302" i="7"/>
  <c r="E256" i="7"/>
  <c r="BE256" i="3"/>
  <c r="BU256" i="3" s="1"/>
  <c r="G251" i="7"/>
  <c r="BG251" i="3"/>
  <c r="BW251" i="3" s="1"/>
  <c r="G213" i="7"/>
  <c r="BG213" i="3"/>
  <c r="BW213" i="3" s="1"/>
  <c r="J295" i="7"/>
  <c r="BJ295" i="3"/>
  <c r="BZ295" i="3" s="1"/>
  <c r="H285" i="7"/>
  <c r="BH285" i="3"/>
  <c r="BX285" i="3" s="1"/>
  <c r="F275" i="7"/>
  <c r="BF275" i="3"/>
  <c r="BV275" i="3" s="1"/>
  <c r="J263" i="7"/>
  <c r="BJ263" i="3"/>
  <c r="BZ263" i="3" s="1"/>
  <c r="H253" i="7"/>
  <c r="BH253" i="3"/>
  <c r="BX253" i="3" s="1"/>
  <c r="F243" i="7"/>
  <c r="BF243" i="3"/>
  <c r="BV243" i="3" s="1"/>
  <c r="I217" i="7"/>
  <c r="BI217" i="3"/>
  <c r="BY217" i="3" s="1"/>
  <c r="I253" i="7"/>
  <c r="BI253" i="3"/>
  <c r="BY253" i="3" s="1"/>
  <c r="E227" i="7"/>
  <c r="BE227" i="3"/>
  <c r="BU227" i="3" s="1"/>
  <c r="I295" i="7"/>
  <c r="BI295" i="3"/>
  <c r="BY295" i="3" s="1"/>
  <c r="G285" i="7"/>
  <c r="BG285" i="3"/>
  <c r="BW285" i="3" s="1"/>
  <c r="E275" i="7"/>
  <c r="BE275" i="3"/>
  <c r="BU275" i="3" s="1"/>
  <c r="I263" i="7"/>
  <c r="BI263" i="3"/>
  <c r="BY263" i="3" s="1"/>
  <c r="BG253" i="3"/>
  <c r="BW253" i="3" s="1"/>
  <c r="G253" i="7"/>
  <c r="E243" i="7"/>
  <c r="BE243" i="3"/>
  <c r="BU243" i="3" s="1"/>
  <c r="J216" i="7"/>
  <c r="BJ216" i="3"/>
  <c r="BZ216" i="3" s="1"/>
  <c r="J297" i="7"/>
  <c r="BJ297" i="3"/>
  <c r="BZ297" i="3" s="1"/>
  <c r="H287" i="7"/>
  <c r="BH287" i="3"/>
  <c r="BX287" i="3" s="1"/>
  <c r="F277" i="7"/>
  <c r="BF277" i="3"/>
  <c r="BV277" i="3" s="1"/>
  <c r="J265" i="7"/>
  <c r="BJ265" i="3"/>
  <c r="BZ265" i="3" s="1"/>
  <c r="H255" i="7"/>
  <c r="BH255" i="3"/>
  <c r="BX255" i="3" s="1"/>
  <c r="F245" i="7"/>
  <c r="BF245" i="3"/>
  <c r="BV245" i="3" s="1"/>
  <c r="F230" i="7"/>
  <c r="BF230" i="3"/>
  <c r="BV230" i="3" s="1"/>
  <c r="E301" i="7"/>
  <c r="BE301" i="3"/>
  <c r="BU301" i="3" s="1"/>
  <c r="I289" i="7"/>
  <c r="BI289" i="3"/>
  <c r="BY289" i="3" s="1"/>
  <c r="G279" i="7"/>
  <c r="BG279" i="3"/>
  <c r="BW279" i="3" s="1"/>
  <c r="E269" i="7"/>
  <c r="BE269" i="3"/>
  <c r="BU269" i="3" s="1"/>
  <c r="I257" i="7"/>
  <c r="BI257" i="3"/>
  <c r="BY257" i="3" s="1"/>
  <c r="G247" i="7"/>
  <c r="BG247" i="3"/>
  <c r="BW247" i="3" s="1"/>
  <c r="E237" i="7"/>
  <c r="BE237" i="3"/>
  <c r="BU237" i="3" s="1"/>
  <c r="E302" i="7"/>
  <c r="BE302" i="3"/>
  <c r="BU302" i="3" s="1"/>
  <c r="I290" i="7"/>
  <c r="BI290" i="3"/>
  <c r="BY290" i="3" s="1"/>
  <c r="G280" i="7"/>
  <c r="BG280" i="3"/>
  <c r="BW280" i="3" s="1"/>
  <c r="E270" i="7"/>
  <c r="BE270" i="3"/>
  <c r="BU270" i="3" s="1"/>
  <c r="I258" i="7"/>
  <c r="BI258" i="3"/>
  <c r="BY258" i="3" s="1"/>
  <c r="G248" i="7"/>
  <c r="BG248" i="3"/>
  <c r="BW248" i="3" s="1"/>
  <c r="BE238" i="3"/>
  <c r="BU238" i="3" s="1"/>
  <c r="E238" i="7"/>
  <c r="E197" i="7"/>
  <c r="BE197" i="3"/>
  <c r="BU197" i="3" s="1"/>
  <c r="I291" i="7"/>
  <c r="BI291" i="3"/>
  <c r="BY291" i="3" s="1"/>
  <c r="G281" i="7"/>
  <c r="BG281" i="3"/>
  <c r="BW281" i="3" s="1"/>
  <c r="BE271" i="3"/>
  <c r="BU271" i="3" s="1"/>
  <c r="E271" i="7"/>
  <c r="I259" i="7"/>
  <c r="BI259" i="3"/>
  <c r="BY259" i="3" s="1"/>
  <c r="G249" i="7"/>
  <c r="BG249" i="3"/>
  <c r="BW249" i="3" s="1"/>
  <c r="E239" i="7"/>
  <c r="BE239" i="3"/>
  <c r="BU239" i="3" s="1"/>
  <c r="J200" i="7"/>
  <c r="BJ200" i="3"/>
  <c r="BZ200" i="3" s="1"/>
  <c r="E228" i="7"/>
  <c r="BE228" i="3"/>
  <c r="BU228" i="3" s="1"/>
  <c r="I216" i="7"/>
  <c r="BI216" i="3"/>
  <c r="BY216" i="3" s="1"/>
  <c r="G206" i="7"/>
  <c r="BG206" i="3"/>
  <c r="BW206" i="3" s="1"/>
  <c r="E196" i="7"/>
  <c r="BE196" i="3"/>
  <c r="BU196" i="3" s="1"/>
  <c r="I226" i="7"/>
  <c r="BI226" i="3"/>
  <c r="BY226" i="3" s="1"/>
  <c r="G216" i="7"/>
  <c r="BG216" i="3"/>
  <c r="BW216" i="3" s="1"/>
  <c r="E206" i="7"/>
  <c r="BE206" i="3"/>
  <c r="BU206" i="3" s="1"/>
  <c r="I235" i="7"/>
  <c r="BI235" i="3"/>
  <c r="BY235" i="3" s="1"/>
  <c r="G225" i="7"/>
  <c r="BG225" i="3"/>
  <c r="BW225" i="3" s="1"/>
  <c r="E215" i="7"/>
  <c r="BE215" i="3"/>
  <c r="BU215" i="3" s="1"/>
  <c r="I203" i="7"/>
  <c r="BI203" i="3"/>
  <c r="BY203" i="3" s="1"/>
  <c r="G234" i="7"/>
  <c r="BG234" i="3"/>
  <c r="BW234" i="3" s="1"/>
  <c r="E224" i="7"/>
  <c r="BE224" i="3"/>
  <c r="BU224" i="3" s="1"/>
  <c r="I212" i="7"/>
  <c r="BI212" i="3"/>
  <c r="BY212" i="3" s="1"/>
  <c r="G202" i="7"/>
  <c r="BG202" i="3"/>
  <c r="BW202" i="3" s="1"/>
  <c r="F234" i="7"/>
  <c r="BF234" i="3"/>
  <c r="BV234" i="3" s="1"/>
  <c r="J222" i="7"/>
  <c r="BJ222" i="3"/>
  <c r="BZ222" i="3" s="1"/>
  <c r="H212" i="7"/>
  <c r="BH212" i="3"/>
  <c r="BX212" i="3" s="1"/>
  <c r="F202" i="7"/>
  <c r="BF202" i="3"/>
  <c r="BV202" i="3" s="1"/>
  <c r="E234" i="7"/>
  <c r="BE234" i="3"/>
  <c r="BU234" i="3" s="1"/>
  <c r="I222" i="7"/>
  <c r="BI222" i="3"/>
  <c r="BY222" i="3" s="1"/>
  <c r="G212" i="7"/>
  <c r="BG212" i="3"/>
  <c r="BW212" i="3" s="1"/>
  <c r="E202" i="7"/>
  <c r="BE202" i="3"/>
  <c r="BU202" i="3" s="1"/>
  <c r="BH243" i="3"/>
  <c r="BX243" i="3" s="1"/>
  <c r="H243" i="7"/>
  <c r="F290" i="7"/>
  <c r="BF290" i="3"/>
  <c r="BV290" i="3" s="1"/>
  <c r="G259" i="7"/>
  <c r="BG259" i="3"/>
  <c r="BW259" i="3" s="1"/>
  <c r="G268" i="7"/>
  <c r="BG268" i="3"/>
  <c r="BW268" i="3" s="1"/>
  <c r="J262" i="7"/>
  <c r="BJ262" i="3"/>
  <c r="BZ262" i="3" s="1"/>
  <c r="F268" i="7"/>
  <c r="BF268" i="3"/>
  <c r="BV268" i="3" s="1"/>
  <c r="E292" i="7"/>
  <c r="BE292" i="3"/>
  <c r="BU292" i="3" s="1"/>
  <c r="I248" i="7"/>
  <c r="BI248" i="3"/>
  <c r="BY248" i="3" s="1"/>
  <c r="H272" i="7"/>
  <c r="BH272" i="3"/>
  <c r="BX272" i="3" s="1"/>
  <c r="I236" i="7"/>
  <c r="BI236" i="3"/>
  <c r="BY236" i="3" s="1"/>
  <c r="F273" i="7"/>
  <c r="BF273" i="3"/>
  <c r="BV273" i="3" s="1"/>
  <c r="G274" i="7"/>
  <c r="BG274" i="3"/>
  <c r="BW274" i="3" s="1"/>
  <c r="H232" i="7"/>
  <c r="BH232" i="3"/>
  <c r="BX232" i="3" s="1"/>
  <c r="I260" i="7"/>
  <c r="BI260" i="3"/>
  <c r="BY260" i="3" s="1"/>
  <c r="I276" i="7"/>
  <c r="BI276" i="3"/>
  <c r="BY276" i="3" s="1"/>
  <c r="E264" i="7"/>
  <c r="BE264" i="3"/>
  <c r="BU264" i="3" s="1"/>
  <c r="G267" i="7"/>
  <c r="BG267" i="3"/>
  <c r="BW267" i="3" s="1"/>
  <c r="I284" i="7"/>
  <c r="BI284" i="3"/>
  <c r="BY284" i="3" s="1"/>
  <c r="F298" i="7"/>
  <c r="BF298" i="3"/>
  <c r="BV298" i="3" s="1"/>
  <c r="J237" i="7"/>
  <c r="BJ237" i="3"/>
  <c r="BZ237" i="3" s="1"/>
  <c r="E249" i="7"/>
  <c r="BE249" i="3"/>
  <c r="BU249" i="3" s="1"/>
  <c r="F204" i="7"/>
  <c r="BF204" i="3"/>
  <c r="BV204" i="3" s="1"/>
  <c r="I294" i="7"/>
  <c r="BI294" i="3"/>
  <c r="BY294" i="3" s="1"/>
  <c r="G284" i="7"/>
  <c r="BG284" i="3"/>
  <c r="BW284" i="3" s="1"/>
  <c r="E274" i="7"/>
  <c r="BE274" i="3"/>
  <c r="BU274" i="3" s="1"/>
  <c r="BI262" i="3"/>
  <c r="BY262" i="3" s="1"/>
  <c r="I262" i="7"/>
  <c r="G252" i="7"/>
  <c r="BG252" i="3"/>
  <c r="BW252" i="3" s="1"/>
  <c r="E242" i="7"/>
  <c r="BE242" i="3"/>
  <c r="BU242" i="3" s="1"/>
  <c r="E213" i="7"/>
  <c r="BE213" i="3"/>
  <c r="BU213" i="3" s="1"/>
  <c r="H252" i="7"/>
  <c r="BH252" i="3"/>
  <c r="BX252" i="3" s="1"/>
  <c r="J208" i="7"/>
  <c r="BJ208" i="3"/>
  <c r="BZ208" i="3" s="1"/>
  <c r="H294" i="7"/>
  <c r="BH294" i="3"/>
  <c r="BX294" i="3" s="1"/>
  <c r="F284" i="7"/>
  <c r="BF284" i="3"/>
  <c r="BV284" i="3" s="1"/>
  <c r="J272" i="7"/>
  <c r="BJ272" i="3"/>
  <c r="BZ272" i="3" s="1"/>
  <c r="H262" i="7"/>
  <c r="BH262" i="3"/>
  <c r="BX262" i="3" s="1"/>
  <c r="F252" i="7"/>
  <c r="BF252" i="3"/>
  <c r="BV252" i="3" s="1"/>
  <c r="J240" i="7"/>
  <c r="BJ240" i="3"/>
  <c r="BZ240" i="3" s="1"/>
  <c r="F212" i="7"/>
  <c r="BF212" i="3"/>
  <c r="BV212" i="3" s="1"/>
  <c r="I296" i="7"/>
  <c r="BI296" i="3"/>
  <c r="BY296" i="3" s="1"/>
  <c r="G286" i="7"/>
  <c r="BG286" i="3"/>
  <c r="BW286" i="3" s="1"/>
  <c r="E276" i="7"/>
  <c r="BE276" i="3"/>
  <c r="BU276" i="3" s="1"/>
  <c r="I264" i="7"/>
  <c r="BI264" i="3"/>
  <c r="BY264" i="3" s="1"/>
  <c r="G254" i="7"/>
  <c r="BG254" i="3"/>
  <c r="BW254" i="3" s="1"/>
  <c r="E244" i="7"/>
  <c r="BE244" i="3"/>
  <c r="BU244" i="3" s="1"/>
  <c r="I225" i="7"/>
  <c r="BI225" i="3"/>
  <c r="BY225" i="3" s="1"/>
  <c r="J298" i="7"/>
  <c r="BJ298" i="3"/>
  <c r="BZ298" i="3" s="1"/>
  <c r="H288" i="7"/>
  <c r="BH288" i="3"/>
  <c r="BX288" i="3" s="1"/>
  <c r="BF278" i="3"/>
  <c r="BV278" i="3" s="1"/>
  <c r="F278" i="7"/>
  <c r="BJ266" i="3"/>
  <c r="BZ266" i="3" s="1"/>
  <c r="J266" i="7"/>
  <c r="H256" i="7"/>
  <c r="BH256" i="3"/>
  <c r="BX256" i="3" s="1"/>
  <c r="F246" i="7"/>
  <c r="BF246" i="3"/>
  <c r="BV246" i="3" s="1"/>
  <c r="BG229" i="3"/>
  <c r="BW229" i="3" s="1"/>
  <c r="G229" i="7"/>
  <c r="J299" i="7"/>
  <c r="BJ299" i="3"/>
  <c r="BZ299" i="3" s="1"/>
  <c r="H289" i="7"/>
  <c r="BH289" i="3"/>
  <c r="BX289" i="3" s="1"/>
  <c r="F279" i="7"/>
  <c r="BF279" i="3"/>
  <c r="BV279" i="3" s="1"/>
  <c r="J267" i="7"/>
  <c r="BJ267" i="3"/>
  <c r="BZ267" i="3" s="1"/>
  <c r="H257" i="7"/>
  <c r="BH257" i="3"/>
  <c r="BX257" i="3" s="1"/>
  <c r="F247" i="7"/>
  <c r="BF247" i="3"/>
  <c r="BV247" i="3" s="1"/>
  <c r="I233" i="7"/>
  <c r="BI233" i="3"/>
  <c r="BY233" i="3" s="1"/>
  <c r="J300" i="7"/>
  <c r="BJ300" i="3"/>
  <c r="BZ300" i="3" s="1"/>
  <c r="H290" i="7"/>
  <c r="BH290" i="3"/>
  <c r="BX290" i="3" s="1"/>
  <c r="F280" i="7"/>
  <c r="BF280" i="3"/>
  <c r="BV280" i="3" s="1"/>
  <c r="J268" i="7"/>
  <c r="BJ268" i="3"/>
  <c r="BZ268" i="3" s="1"/>
  <c r="H258" i="7"/>
  <c r="BH258" i="3"/>
  <c r="BX258" i="3" s="1"/>
  <c r="F248" i="7"/>
  <c r="BF248" i="3"/>
  <c r="BV248" i="3" s="1"/>
  <c r="BJ236" i="3"/>
  <c r="BZ236" i="3" s="1"/>
  <c r="J236" i="7"/>
  <c r="F196" i="7"/>
  <c r="BF196" i="3"/>
  <c r="BV196" i="3" s="1"/>
  <c r="J225" i="7"/>
  <c r="BJ225" i="3"/>
  <c r="BZ225" i="3" s="1"/>
  <c r="H215" i="7"/>
  <c r="BH215" i="3"/>
  <c r="BX215" i="3" s="1"/>
  <c r="F205" i="7"/>
  <c r="BF205" i="3"/>
  <c r="BV205" i="3" s="1"/>
  <c r="J235" i="7"/>
  <c r="BJ235" i="3"/>
  <c r="BZ235" i="3" s="1"/>
  <c r="H225" i="7"/>
  <c r="BH225" i="3"/>
  <c r="BX225" i="3" s="1"/>
  <c r="F215" i="7"/>
  <c r="BF215" i="3"/>
  <c r="BV215" i="3" s="1"/>
  <c r="J203" i="7"/>
  <c r="BJ203" i="3"/>
  <c r="BZ203" i="3" s="1"/>
  <c r="H234" i="7"/>
  <c r="BH234" i="3"/>
  <c r="BX234" i="3" s="1"/>
  <c r="F224" i="7"/>
  <c r="BF224" i="3"/>
  <c r="BV224" i="3" s="1"/>
  <c r="J212" i="7"/>
  <c r="BJ212" i="3"/>
  <c r="BZ212" i="3" s="1"/>
  <c r="H202" i="7"/>
  <c r="BH202" i="3"/>
  <c r="BX202" i="3" s="1"/>
  <c r="F233" i="7"/>
  <c r="BF233" i="3"/>
  <c r="BV233" i="3" s="1"/>
  <c r="J221" i="7"/>
  <c r="BJ221" i="3"/>
  <c r="BZ221" i="3" s="1"/>
  <c r="H211" i="7"/>
  <c r="BH211" i="3"/>
  <c r="BX211" i="3" s="1"/>
  <c r="BF201" i="3"/>
  <c r="BV201" i="3" s="1"/>
  <c r="E233" i="7"/>
  <c r="BE233" i="3"/>
  <c r="BU233" i="3" s="1"/>
  <c r="I221" i="7"/>
  <c r="BI221" i="3"/>
  <c r="BY221" i="3" s="1"/>
  <c r="G211" i="7"/>
  <c r="BG211" i="3"/>
  <c r="BW211" i="3" s="1"/>
  <c r="BE201" i="3"/>
  <c r="BU201" i="3" s="1"/>
  <c r="E201" i="7" s="1"/>
  <c r="J231" i="7"/>
  <c r="BJ231" i="3"/>
  <c r="BZ231" i="3" s="1"/>
  <c r="H221" i="7"/>
  <c r="BH221" i="3"/>
  <c r="BX221" i="3" s="1"/>
  <c r="F211" i="7"/>
  <c r="BF211" i="3"/>
  <c r="BV211" i="3" s="1"/>
  <c r="J199" i="7"/>
  <c r="BJ199" i="3"/>
  <c r="BZ199" i="3" s="1"/>
  <c r="BH292" i="3"/>
  <c r="BX292" i="3" s="1"/>
  <c r="H292" i="7"/>
  <c r="I268" i="7"/>
  <c r="BI268" i="3"/>
  <c r="BY268" i="3" s="1"/>
  <c r="J245" i="7"/>
  <c r="BJ245" i="3"/>
  <c r="BZ245" i="3" s="1"/>
  <c r="BH300" i="3"/>
  <c r="BX300" i="3" s="1"/>
  <c r="H300" i="7"/>
  <c r="H251" i="7"/>
  <c r="BH251" i="3"/>
  <c r="BX251" i="3" s="1"/>
  <c r="E272" i="7"/>
  <c r="BE272" i="3"/>
  <c r="BU272" i="3" s="1"/>
  <c r="H200" i="7"/>
  <c r="BH200" i="3"/>
  <c r="BX200" i="3" s="1"/>
  <c r="G258" i="7"/>
  <c r="BG258" i="3"/>
  <c r="BW258" i="3" s="1"/>
  <c r="E280" i="7"/>
  <c r="BE280" i="3"/>
  <c r="BU280" i="3" s="1"/>
  <c r="I293" i="7"/>
  <c r="BI293" i="3"/>
  <c r="BY293" i="3" s="1"/>
  <c r="E205" i="7"/>
  <c r="BE205" i="3"/>
  <c r="BU205" i="3" s="1"/>
  <c r="J246" i="7"/>
  <c r="BJ246" i="3"/>
  <c r="BZ246" i="3" s="1"/>
  <c r="I199" i="7"/>
  <c r="BI199" i="3"/>
  <c r="BY199" i="3" s="1"/>
  <c r="H293" i="7"/>
  <c r="BH293" i="3"/>
  <c r="BX293" i="3" s="1"/>
  <c r="F283" i="7"/>
  <c r="BF283" i="3"/>
  <c r="BV283" i="3" s="1"/>
  <c r="J271" i="7"/>
  <c r="BJ271" i="3"/>
  <c r="BZ271" i="3" s="1"/>
  <c r="H261" i="7"/>
  <c r="BH261" i="3"/>
  <c r="BX261" i="3" s="1"/>
  <c r="F251" i="7"/>
  <c r="BF251" i="3"/>
  <c r="BV251" i="3" s="1"/>
  <c r="J239" i="7"/>
  <c r="BJ239" i="3"/>
  <c r="BZ239" i="3" s="1"/>
  <c r="H208" i="7"/>
  <c r="BH208" i="3"/>
  <c r="BX208" i="3" s="1"/>
  <c r="F250" i="7"/>
  <c r="BF250" i="3"/>
  <c r="BV250" i="3" s="1"/>
  <c r="BE195" i="3"/>
  <c r="BU195" i="3" s="1"/>
  <c r="G293" i="7"/>
  <c r="BG293" i="3"/>
  <c r="BW293" i="3" s="1"/>
  <c r="BE283" i="3"/>
  <c r="BU283" i="3" s="1"/>
  <c r="E283" i="7"/>
  <c r="I271" i="7"/>
  <c r="BI271" i="3"/>
  <c r="BY271" i="3" s="1"/>
  <c r="G261" i="7"/>
  <c r="BG261" i="3"/>
  <c r="BW261" i="3" s="1"/>
  <c r="E251" i="7"/>
  <c r="BE251" i="3"/>
  <c r="BU251" i="3" s="1"/>
  <c r="I239" i="7"/>
  <c r="BI239" i="3"/>
  <c r="BY239" i="3" s="1"/>
  <c r="BI207" i="3"/>
  <c r="BY207" i="3" s="1"/>
  <c r="I207" i="7"/>
  <c r="H295" i="7"/>
  <c r="BH295" i="3"/>
  <c r="BX295" i="3" s="1"/>
  <c r="F285" i="7"/>
  <c r="BF285" i="3"/>
  <c r="BV285" i="3" s="1"/>
  <c r="BJ273" i="3"/>
  <c r="BZ273" i="3" s="1"/>
  <c r="J273" i="7"/>
  <c r="H263" i="7"/>
  <c r="BH263" i="3"/>
  <c r="BX263" i="3" s="1"/>
  <c r="F253" i="7"/>
  <c r="BF253" i="3"/>
  <c r="BV253" i="3" s="1"/>
  <c r="J241" i="7"/>
  <c r="BJ241" i="3"/>
  <c r="BZ241" i="3" s="1"/>
  <c r="E221" i="7"/>
  <c r="BE221" i="3"/>
  <c r="BU221" i="3" s="1"/>
  <c r="I297" i="7"/>
  <c r="BI297" i="3"/>
  <c r="BY297" i="3" s="1"/>
  <c r="G287" i="7"/>
  <c r="BG287" i="3"/>
  <c r="BW287" i="3" s="1"/>
  <c r="E277" i="7"/>
  <c r="BE277" i="3"/>
  <c r="BU277" i="3" s="1"/>
  <c r="I265" i="7"/>
  <c r="BI265" i="3"/>
  <c r="BY265" i="3" s="1"/>
  <c r="G255" i="7"/>
  <c r="BG255" i="3"/>
  <c r="BW255" i="3" s="1"/>
  <c r="E245" i="7"/>
  <c r="BE245" i="3"/>
  <c r="BU245" i="3" s="1"/>
  <c r="J224" i="7"/>
  <c r="BJ224" i="3"/>
  <c r="BZ224" i="3" s="1"/>
  <c r="I298" i="7"/>
  <c r="BI298" i="3"/>
  <c r="BY298" i="3" s="1"/>
  <c r="G288" i="7"/>
  <c r="BG288" i="3"/>
  <c r="BW288" i="3" s="1"/>
  <c r="BE278" i="3"/>
  <c r="BU278" i="3" s="1"/>
  <c r="E278" i="7"/>
  <c r="I266" i="7"/>
  <c r="BI266" i="3"/>
  <c r="BY266" i="3" s="1"/>
  <c r="G256" i="7"/>
  <c r="BG256" i="3"/>
  <c r="BW256" i="3" s="1"/>
  <c r="E246" i="7"/>
  <c r="BE246" i="3"/>
  <c r="BU246" i="3" s="1"/>
  <c r="E229" i="7"/>
  <c r="BE229" i="3"/>
  <c r="BU229" i="3" s="1"/>
  <c r="I299" i="7"/>
  <c r="BI299" i="3"/>
  <c r="BY299" i="3" s="1"/>
  <c r="G289" i="7"/>
  <c r="BG289" i="3"/>
  <c r="BW289" i="3" s="1"/>
  <c r="E279" i="7"/>
  <c r="BE279" i="3"/>
  <c r="BU279" i="3" s="1"/>
  <c r="I267" i="7"/>
  <c r="BI267" i="3"/>
  <c r="BY267" i="3" s="1"/>
  <c r="G257" i="7"/>
  <c r="BG257" i="3"/>
  <c r="BW257" i="3" s="1"/>
  <c r="BE247" i="3"/>
  <c r="BU247" i="3" s="1"/>
  <c r="E247" i="7"/>
  <c r="J232" i="7"/>
  <c r="BJ232" i="3"/>
  <c r="BZ232" i="3" s="1"/>
  <c r="E236" i="7"/>
  <c r="BE236" i="3"/>
  <c r="BU236" i="3" s="1"/>
  <c r="I224" i="7"/>
  <c r="BI224" i="3"/>
  <c r="BY224" i="3" s="1"/>
  <c r="G214" i="7"/>
  <c r="BG214" i="3"/>
  <c r="BW214" i="3" s="1"/>
  <c r="E204" i="7"/>
  <c r="BE204" i="3"/>
  <c r="BU204" i="3" s="1"/>
  <c r="I234" i="7"/>
  <c r="BI234" i="3"/>
  <c r="BY234" i="3" s="1"/>
  <c r="G224" i="7"/>
  <c r="BG224" i="3"/>
  <c r="BW224" i="3" s="1"/>
  <c r="E214" i="7"/>
  <c r="BE214" i="3"/>
  <c r="BU214" i="3" s="1"/>
  <c r="BI202" i="3"/>
  <c r="BY202" i="3" s="1"/>
  <c r="I202" i="7"/>
  <c r="G233" i="7"/>
  <c r="BG233" i="3"/>
  <c r="BW233" i="3" s="1"/>
  <c r="E223" i="7"/>
  <c r="BE223" i="3"/>
  <c r="BU223" i="3" s="1"/>
  <c r="I211" i="7"/>
  <c r="BI211" i="3"/>
  <c r="BY211" i="3" s="1"/>
  <c r="G201" i="7"/>
  <c r="BG201" i="3"/>
  <c r="BW201" i="3" s="1"/>
  <c r="E232" i="7"/>
  <c r="BE232" i="3"/>
  <c r="BU232" i="3" s="1"/>
  <c r="I220" i="7"/>
  <c r="BI220" i="3"/>
  <c r="BY220" i="3" s="1"/>
  <c r="G210" i="7"/>
  <c r="BG210" i="3"/>
  <c r="BW210" i="3" s="1"/>
  <c r="E200" i="7"/>
  <c r="BE200" i="3"/>
  <c r="BU200" i="3" s="1"/>
  <c r="J230" i="7"/>
  <c r="BJ230" i="3"/>
  <c r="BZ230" i="3" s="1"/>
  <c r="BH220" i="3"/>
  <c r="BX220" i="3" s="1"/>
  <c r="H220" i="7"/>
  <c r="F210" i="7"/>
  <c r="BF210" i="3"/>
  <c r="BV210" i="3" s="1"/>
  <c r="J198" i="7"/>
  <c r="BJ198" i="3"/>
  <c r="BZ198" i="3" s="1"/>
  <c r="I230" i="7"/>
  <c r="BI230" i="3"/>
  <c r="BY230" i="3" s="1"/>
  <c r="G220" i="7"/>
  <c r="BG220" i="3"/>
  <c r="BW220" i="3" s="1"/>
  <c r="E210" i="7"/>
  <c r="BE210" i="3"/>
  <c r="BU210" i="3" s="1"/>
  <c r="I198" i="7"/>
  <c r="BI198" i="3"/>
  <c r="BY198" i="3" s="1"/>
  <c r="I244" i="7"/>
  <c r="BI244" i="3"/>
  <c r="BY244" i="3" s="1"/>
  <c r="J261" i="7"/>
  <c r="BJ261" i="3"/>
  <c r="BZ261" i="3" s="1"/>
  <c r="E297" i="7"/>
  <c r="BE297" i="3"/>
  <c r="BU297" i="3" s="1"/>
  <c r="G291" i="7"/>
  <c r="BG291" i="3"/>
  <c r="BW291" i="3" s="1"/>
  <c r="G242" i="7"/>
  <c r="BG242" i="3"/>
  <c r="BW242" i="3" s="1"/>
  <c r="H267" i="7"/>
  <c r="BH267" i="3"/>
  <c r="BX267" i="3" s="1"/>
  <c r="G299" i="7"/>
  <c r="BG299" i="3"/>
  <c r="BW299" i="3" s="1"/>
  <c r="F249" i="7"/>
  <c r="BF249" i="3"/>
  <c r="BV249" i="3" s="1"/>
  <c r="BH275" i="3"/>
  <c r="BX275" i="3" s="1"/>
  <c r="H275" i="7"/>
  <c r="E289" i="7"/>
  <c r="BE289" i="3"/>
  <c r="BU289" i="3" s="1"/>
  <c r="F266" i="7"/>
  <c r="BF266" i="3"/>
  <c r="BV266" i="3" s="1"/>
  <c r="BH244" i="3"/>
  <c r="BX244" i="3" s="1"/>
  <c r="H244" i="7"/>
  <c r="I302" i="7"/>
  <c r="BI302" i="3"/>
  <c r="BY302" i="3" s="1"/>
  <c r="G292" i="7"/>
  <c r="BG292" i="3"/>
  <c r="BW292" i="3" s="1"/>
  <c r="BE282" i="3"/>
  <c r="BU282" i="3" s="1"/>
  <c r="E282" i="7"/>
  <c r="BI270" i="3"/>
  <c r="BY270" i="3" s="1"/>
  <c r="I270" i="7"/>
  <c r="G260" i="7"/>
  <c r="BG260" i="3"/>
  <c r="BW260" i="3" s="1"/>
  <c r="E250" i="7"/>
  <c r="BE250" i="3"/>
  <c r="BU250" i="3" s="1"/>
  <c r="I238" i="7"/>
  <c r="BI238" i="3"/>
  <c r="BY238" i="3" s="1"/>
  <c r="G199" i="7"/>
  <c r="BG199" i="3"/>
  <c r="BW199" i="3" s="1"/>
  <c r="BI245" i="3"/>
  <c r="BY245" i="3" s="1"/>
  <c r="I245" i="7"/>
  <c r="H302" i="7"/>
  <c r="BH302" i="3"/>
  <c r="BX302" i="3" s="1"/>
  <c r="F292" i="7"/>
  <c r="BF292" i="3"/>
  <c r="BV292" i="3" s="1"/>
  <c r="J280" i="7"/>
  <c r="BJ280" i="3"/>
  <c r="BZ280" i="3" s="1"/>
  <c r="H270" i="7"/>
  <c r="BH270" i="3"/>
  <c r="BX270" i="3" s="1"/>
  <c r="F260" i="7"/>
  <c r="BF260" i="3"/>
  <c r="BV260" i="3" s="1"/>
  <c r="J248" i="7"/>
  <c r="BJ248" i="3"/>
  <c r="BZ248" i="3" s="1"/>
  <c r="BH238" i="3"/>
  <c r="BX238" i="3" s="1"/>
  <c r="H238" i="7"/>
  <c r="E203" i="7"/>
  <c r="BE203" i="3"/>
  <c r="BU203" i="3" s="1"/>
  <c r="G294" i="7"/>
  <c r="BG294" i="3"/>
  <c r="BW294" i="3" s="1"/>
  <c r="E284" i="7"/>
  <c r="BE284" i="3"/>
  <c r="BU284" i="3" s="1"/>
  <c r="I272" i="7"/>
  <c r="BI272" i="3"/>
  <c r="BY272" i="3" s="1"/>
  <c r="G262" i="7"/>
  <c r="BG262" i="3"/>
  <c r="BW262" i="3" s="1"/>
  <c r="E252" i="7"/>
  <c r="BE252" i="3"/>
  <c r="BU252" i="3" s="1"/>
  <c r="I240" i="7"/>
  <c r="BI240" i="3"/>
  <c r="BY240" i="3" s="1"/>
  <c r="H216" i="7"/>
  <c r="BH216" i="3"/>
  <c r="BX216" i="3" s="1"/>
  <c r="H296" i="7"/>
  <c r="BH296" i="3"/>
  <c r="BX296" i="3" s="1"/>
  <c r="F286" i="7"/>
  <c r="BF286" i="3"/>
  <c r="BV286" i="3" s="1"/>
  <c r="J274" i="7"/>
  <c r="BJ274" i="3"/>
  <c r="BZ274" i="3" s="1"/>
  <c r="H264" i="7"/>
  <c r="BH264" i="3"/>
  <c r="BX264" i="3" s="1"/>
  <c r="F254" i="7"/>
  <c r="BF254" i="3"/>
  <c r="BV254" i="3" s="1"/>
  <c r="J242" i="7"/>
  <c r="BJ242" i="3"/>
  <c r="BZ242" i="3" s="1"/>
  <c r="F220" i="7"/>
  <c r="BF220" i="3"/>
  <c r="BV220" i="3" s="1"/>
  <c r="H297" i="7"/>
  <c r="BH297" i="3"/>
  <c r="BX297" i="3" s="1"/>
  <c r="F287" i="7"/>
  <c r="BF287" i="3"/>
  <c r="BV287" i="3" s="1"/>
  <c r="J275" i="7"/>
  <c r="BJ275" i="3"/>
  <c r="BZ275" i="3" s="1"/>
  <c r="H265" i="7"/>
  <c r="BH265" i="3"/>
  <c r="BX265" i="3" s="1"/>
  <c r="F255" i="7"/>
  <c r="BF255" i="3"/>
  <c r="BV255" i="3" s="1"/>
  <c r="J243" i="7"/>
  <c r="BJ243" i="3"/>
  <c r="BZ243" i="3" s="1"/>
  <c r="H224" i="7"/>
  <c r="BH224" i="3"/>
  <c r="BX224" i="3" s="1"/>
  <c r="H298" i="7"/>
  <c r="BH298" i="3"/>
  <c r="BX298" i="3" s="1"/>
  <c r="F288" i="7"/>
  <c r="BF288" i="3"/>
  <c r="BV288" i="3" s="1"/>
  <c r="J276" i="7"/>
  <c r="BJ276" i="3"/>
  <c r="BZ276" i="3" s="1"/>
  <c r="H266" i="7"/>
  <c r="BH266" i="3"/>
  <c r="BX266" i="3" s="1"/>
  <c r="F256" i="7"/>
  <c r="BF256" i="3"/>
  <c r="BV256" i="3" s="1"/>
  <c r="J244" i="7"/>
  <c r="BJ244" i="3"/>
  <c r="BZ244" i="3" s="1"/>
  <c r="F228" i="7"/>
  <c r="BF228" i="3"/>
  <c r="BV228" i="3" s="1"/>
  <c r="J233" i="7"/>
  <c r="BJ233" i="3"/>
  <c r="BZ233" i="3" s="1"/>
  <c r="H223" i="7"/>
  <c r="BH223" i="3"/>
  <c r="BX223" i="3" s="1"/>
  <c r="BF213" i="3"/>
  <c r="BV213" i="3" s="1"/>
  <c r="F213" i="7"/>
  <c r="J201" i="7"/>
  <c r="BJ201" i="3"/>
  <c r="BZ201" i="3" s="1"/>
  <c r="H233" i="7"/>
  <c r="BH233" i="3"/>
  <c r="BX233" i="3" s="1"/>
  <c r="F223" i="7"/>
  <c r="BF223" i="3"/>
  <c r="BV223" i="3" s="1"/>
  <c r="J211" i="7"/>
  <c r="BJ211" i="3"/>
  <c r="BZ211" i="3" s="1"/>
  <c r="BH201" i="3"/>
  <c r="BX201" i="3" s="1"/>
  <c r="F232" i="7"/>
  <c r="BF232" i="3"/>
  <c r="BV232" i="3" s="1"/>
  <c r="J220" i="7"/>
  <c r="BJ220" i="3"/>
  <c r="BZ220" i="3" s="1"/>
  <c r="H210" i="7"/>
  <c r="BH210" i="3"/>
  <c r="BX210" i="3" s="1"/>
  <c r="F200" i="7"/>
  <c r="BF200" i="3"/>
  <c r="BV200" i="3" s="1"/>
  <c r="J229" i="7"/>
  <c r="BJ229" i="3"/>
  <c r="BZ229" i="3" s="1"/>
  <c r="H219" i="7"/>
  <c r="BH219" i="3"/>
  <c r="BX219" i="3" s="1"/>
  <c r="F209" i="7"/>
  <c r="BF209" i="3"/>
  <c r="BV209" i="3" s="1"/>
  <c r="J197" i="7"/>
  <c r="BJ197" i="3"/>
  <c r="BZ197" i="3" s="1"/>
  <c r="BI229" i="3"/>
  <c r="BY229" i="3" s="1"/>
  <c r="I229" i="7"/>
  <c r="G219" i="7"/>
  <c r="BG219" i="3"/>
  <c r="BW219" i="3" s="1"/>
  <c r="E209" i="7"/>
  <c r="BE209" i="3"/>
  <c r="BU209" i="3" s="1"/>
  <c r="I197" i="7"/>
  <c r="BI197" i="3"/>
  <c r="BY197" i="3" s="1"/>
  <c r="H229" i="7"/>
  <c r="BH229" i="3"/>
  <c r="BX229" i="3" s="1"/>
  <c r="F219" i="7"/>
  <c r="BF219" i="3"/>
  <c r="BV219" i="3" s="1"/>
  <c r="J207" i="7"/>
  <c r="BJ207" i="3"/>
  <c r="BZ207" i="3" s="1"/>
  <c r="H197" i="7"/>
  <c r="BH197" i="3"/>
  <c r="BX197" i="3" s="1"/>
  <c r="I300" i="7"/>
  <c r="BI300" i="3"/>
  <c r="BY300" i="3" s="1"/>
  <c r="I252" i="7"/>
  <c r="BI252" i="3"/>
  <c r="BY252" i="3" s="1"/>
  <c r="G283" i="7"/>
  <c r="BG283" i="3"/>
  <c r="BW283" i="3" s="1"/>
  <c r="J286" i="7"/>
  <c r="BJ286" i="3"/>
  <c r="BZ286" i="3" s="1"/>
  <c r="G223" i="7"/>
  <c r="BG223" i="3"/>
  <c r="BW223" i="3" s="1"/>
  <c r="H259" i="7"/>
  <c r="BH259" i="3"/>
  <c r="BX259" i="3" s="1"/>
  <c r="J294" i="7"/>
  <c r="BJ294" i="3"/>
  <c r="BZ294" i="3" s="1"/>
  <c r="E240" i="7"/>
  <c r="BE240" i="3"/>
  <c r="BU240" i="3" s="1"/>
  <c r="G266" i="7"/>
  <c r="BG266" i="3"/>
  <c r="BW266" i="3" s="1"/>
  <c r="H284" i="7"/>
  <c r="BH284" i="3"/>
  <c r="BX284" i="3" s="1"/>
  <c r="I261" i="7"/>
  <c r="BI261" i="3"/>
  <c r="BY261" i="3" s="1"/>
  <c r="F242" i="7"/>
  <c r="BF242" i="3"/>
  <c r="BV242" i="3" s="1"/>
  <c r="H301" i="7"/>
  <c r="BH301" i="3"/>
  <c r="BX301" i="3" s="1"/>
  <c r="F291" i="7"/>
  <c r="BF291" i="3"/>
  <c r="BV291" i="3" s="1"/>
  <c r="J279" i="7"/>
  <c r="BJ279" i="3"/>
  <c r="BZ279" i="3" s="1"/>
  <c r="H269" i="7"/>
  <c r="BH269" i="3"/>
  <c r="BX269" i="3" s="1"/>
  <c r="F259" i="7"/>
  <c r="BF259" i="3"/>
  <c r="BV259" i="3" s="1"/>
  <c r="J247" i="7"/>
  <c r="BJ247" i="3"/>
  <c r="BZ247" i="3" s="1"/>
  <c r="H237" i="7"/>
  <c r="BH237" i="3"/>
  <c r="BX237" i="3" s="1"/>
  <c r="E265" i="7"/>
  <c r="BE265" i="3"/>
  <c r="BU265" i="3" s="1"/>
  <c r="G243" i="7"/>
  <c r="BG243" i="3"/>
  <c r="BW243" i="3" s="1"/>
  <c r="G301" i="7"/>
  <c r="BG301" i="3"/>
  <c r="BW301" i="3" s="1"/>
  <c r="E291" i="7"/>
  <c r="BE291" i="3"/>
  <c r="BU291" i="3" s="1"/>
  <c r="BI279" i="3"/>
  <c r="BY279" i="3" s="1"/>
  <c r="I279" i="7"/>
  <c r="G269" i="7"/>
  <c r="BG269" i="3"/>
  <c r="BW269" i="3" s="1"/>
  <c r="E259" i="7"/>
  <c r="BE259" i="3"/>
  <c r="BU259" i="3" s="1"/>
  <c r="I247" i="7"/>
  <c r="BI247" i="3"/>
  <c r="BY247" i="3" s="1"/>
  <c r="G237" i="7"/>
  <c r="BG237" i="3"/>
  <c r="BW237" i="3" s="1"/>
  <c r="H198" i="7"/>
  <c r="BH198" i="3"/>
  <c r="BX198" i="3" s="1"/>
  <c r="F293" i="7"/>
  <c r="BF293" i="3"/>
  <c r="BV293" i="3" s="1"/>
  <c r="J281" i="7"/>
  <c r="BJ281" i="3"/>
  <c r="BZ281" i="3" s="1"/>
  <c r="H271" i="7"/>
  <c r="BH271" i="3"/>
  <c r="BX271" i="3" s="1"/>
  <c r="BF261" i="3"/>
  <c r="BV261" i="3" s="1"/>
  <c r="F261" i="7"/>
  <c r="BJ249" i="3"/>
  <c r="BZ249" i="3" s="1"/>
  <c r="J249" i="7"/>
  <c r="H239" i="7"/>
  <c r="BH239" i="3"/>
  <c r="BX239" i="3" s="1"/>
  <c r="BG207" i="3"/>
  <c r="BW207" i="3" s="1"/>
  <c r="G207" i="7"/>
  <c r="BG295" i="3"/>
  <c r="BW295" i="3" s="1"/>
  <c r="G295" i="7"/>
  <c r="E285" i="7"/>
  <c r="BE285" i="3"/>
  <c r="BU285" i="3" s="1"/>
  <c r="I273" i="7"/>
  <c r="BI273" i="3"/>
  <c r="BY273" i="3" s="1"/>
  <c r="G263" i="7"/>
  <c r="BG263" i="3"/>
  <c r="BW263" i="3" s="1"/>
  <c r="E253" i="7"/>
  <c r="BE253" i="3"/>
  <c r="BU253" i="3" s="1"/>
  <c r="I241" i="7"/>
  <c r="BI241" i="3"/>
  <c r="BY241" i="3" s="1"/>
  <c r="BI215" i="3"/>
  <c r="BY215" i="3" s="1"/>
  <c r="I215" i="7"/>
  <c r="G296" i="7"/>
  <c r="BG296" i="3"/>
  <c r="BW296" i="3" s="1"/>
  <c r="E286" i="7"/>
  <c r="BE286" i="3"/>
  <c r="BU286" i="3" s="1"/>
  <c r="I274" i="7"/>
  <c r="BI274" i="3"/>
  <c r="BY274" i="3" s="1"/>
  <c r="G264" i="7"/>
  <c r="BG264" i="3"/>
  <c r="BW264" i="3" s="1"/>
  <c r="E254" i="7"/>
  <c r="BE254" i="3"/>
  <c r="BU254" i="3" s="1"/>
  <c r="BI242" i="3"/>
  <c r="BY242" i="3" s="1"/>
  <c r="I242" i="7"/>
  <c r="G215" i="7"/>
  <c r="BG215" i="3"/>
  <c r="BW215" i="3" s="1"/>
  <c r="G297" i="7"/>
  <c r="BG297" i="3"/>
  <c r="BW297" i="3" s="1"/>
  <c r="E287" i="7"/>
  <c r="BE287" i="3"/>
  <c r="BU287" i="3" s="1"/>
  <c r="I275" i="7"/>
  <c r="BI275" i="3"/>
  <c r="BY275" i="3" s="1"/>
  <c r="G265" i="7"/>
  <c r="BG265" i="3"/>
  <c r="BW265" i="3" s="1"/>
  <c r="BE255" i="3"/>
  <c r="BU255" i="3" s="1"/>
  <c r="E255" i="7"/>
  <c r="I243" i="7"/>
  <c r="BI243" i="3"/>
  <c r="BY243" i="3" s="1"/>
  <c r="I223" i="7"/>
  <c r="BI223" i="3"/>
  <c r="BY223" i="3" s="1"/>
  <c r="I232" i="7"/>
  <c r="BI232" i="3"/>
  <c r="BY232" i="3" s="1"/>
  <c r="G222" i="7"/>
  <c r="BG222" i="3"/>
  <c r="BW222" i="3" s="1"/>
  <c r="E212" i="7"/>
  <c r="BE212" i="3"/>
  <c r="BU212" i="3" s="1"/>
  <c r="I200" i="7"/>
  <c r="BI200" i="3"/>
  <c r="BY200" i="3" s="1"/>
  <c r="G232" i="7"/>
  <c r="BG232" i="3"/>
  <c r="BW232" i="3" s="1"/>
  <c r="E222" i="7"/>
  <c r="BE222" i="3"/>
  <c r="BU222" i="3" s="1"/>
  <c r="I210" i="7"/>
  <c r="BI210" i="3"/>
  <c r="BY210" i="3" s="1"/>
  <c r="G200" i="7"/>
  <c r="BG200" i="3"/>
  <c r="BW200" i="3" s="1"/>
  <c r="E231" i="7"/>
  <c r="BE231" i="3"/>
  <c r="BU231" i="3" s="1"/>
  <c r="I219" i="7"/>
  <c r="BI219" i="3"/>
  <c r="BY219" i="3" s="1"/>
  <c r="G209" i="7"/>
  <c r="BG209" i="3"/>
  <c r="BW209" i="3" s="1"/>
  <c r="E199" i="7"/>
  <c r="BE199" i="3"/>
  <c r="BU199" i="3" s="1"/>
  <c r="I228" i="7"/>
  <c r="BI228" i="3"/>
  <c r="BY228" i="3" s="1"/>
  <c r="G218" i="7"/>
  <c r="BG218" i="3"/>
  <c r="BW218" i="3" s="1"/>
  <c r="E208" i="7"/>
  <c r="BE208" i="3"/>
  <c r="BU208" i="3" s="1"/>
  <c r="I196" i="7"/>
  <c r="BI196" i="3"/>
  <c r="BY196" i="3" s="1"/>
  <c r="H228" i="7"/>
  <c r="BH228" i="3"/>
  <c r="BX228" i="3" s="1"/>
  <c r="BF218" i="3"/>
  <c r="BV218" i="3" s="1"/>
  <c r="F218" i="7"/>
  <c r="J206" i="7"/>
  <c r="BJ206" i="3"/>
  <c r="BZ206" i="3" s="1"/>
  <c r="H196" i="7"/>
  <c r="BH196" i="3"/>
  <c r="BX196" i="3" s="1"/>
  <c r="G228" i="7"/>
  <c r="BG228" i="3"/>
  <c r="BW228" i="3" s="1"/>
  <c r="E218" i="7"/>
  <c r="BE218" i="3"/>
  <c r="BU218" i="3" s="1"/>
  <c r="I206" i="7"/>
  <c r="BI206" i="3"/>
  <c r="BY206" i="3" s="1"/>
  <c r="G196" i="7"/>
  <c r="BG196" i="3"/>
  <c r="BW196" i="3" s="1"/>
  <c r="G250" i="7"/>
  <c r="BG250" i="3"/>
  <c r="BW250" i="3" s="1"/>
  <c r="BE290" i="3"/>
  <c r="BU290" i="3" s="1"/>
  <c r="E290" i="7"/>
  <c r="E241" i="7"/>
  <c r="BE241" i="3"/>
  <c r="BU241" i="3" s="1"/>
  <c r="G302" i="7"/>
  <c r="BG302" i="3"/>
  <c r="BW302" i="3" s="1"/>
  <c r="BJ202" i="3"/>
  <c r="BZ202" i="3" s="1"/>
  <c r="J202" i="7"/>
  <c r="BF262" i="3"/>
  <c r="BV262" i="3" s="1"/>
  <c r="F262" i="7"/>
  <c r="J250" i="7"/>
  <c r="BJ250" i="3"/>
  <c r="BZ250" i="3" s="1"/>
  <c r="H240" i="7"/>
  <c r="BH240" i="3"/>
  <c r="BX240" i="3" s="1"/>
  <c r="E211" i="7"/>
  <c r="BE211" i="3"/>
  <c r="BU211" i="3" s="1"/>
  <c r="BF295" i="3"/>
  <c r="BV295" i="3" s="1"/>
  <c r="F295" i="7"/>
  <c r="J283" i="7"/>
  <c r="BJ283" i="3"/>
  <c r="BZ283" i="3" s="1"/>
  <c r="H273" i="7"/>
  <c r="BH273" i="3"/>
  <c r="BX273" i="3" s="1"/>
  <c r="F263" i="7"/>
  <c r="BF263" i="3"/>
  <c r="BV263" i="3" s="1"/>
  <c r="J251" i="7"/>
  <c r="BJ251" i="3"/>
  <c r="BZ251" i="3" s="1"/>
  <c r="H241" i="7"/>
  <c r="BH241" i="3"/>
  <c r="BX241" i="3" s="1"/>
  <c r="J210" i="7"/>
  <c r="BJ210" i="3"/>
  <c r="BZ210" i="3" s="1"/>
  <c r="F296" i="7"/>
  <c r="BF296" i="3"/>
  <c r="BV296" i="3" s="1"/>
  <c r="J284" i="7"/>
  <c r="BJ284" i="3"/>
  <c r="BZ284" i="3" s="1"/>
  <c r="H274" i="7"/>
  <c r="BH274" i="3"/>
  <c r="BX274" i="3" s="1"/>
  <c r="F264" i="7"/>
  <c r="BF264" i="3"/>
  <c r="BV264" i="3" s="1"/>
  <c r="J252" i="7"/>
  <c r="BJ252" i="3"/>
  <c r="BZ252" i="3" s="1"/>
  <c r="H242" i="7"/>
  <c r="BH242" i="3"/>
  <c r="BX242" i="3" s="1"/>
  <c r="E219" i="7"/>
  <c r="BE219" i="3"/>
  <c r="BU219" i="3" s="1"/>
  <c r="H231" i="7"/>
  <c r="BH231" i="3"/>
  <c r="BX231" i="3" s="1"/>
  <c r="F221" i="7"/>
  <c r="BF221" i="3"/>
  <c r="BV221" i="3" s="1"/>
  <c r="J209" i="7"/>
  <c r="BJ209" i="3"/>
  <c r="BZ209" i="3" s="1"/>
  <c r="H199" i="7"/>
  <c r="BH199" i="3"/>
  <c r="BX199" i="3" s="1"/>
  <c r="F231" i="7"/>
  <c r="BF231" i="3"/>
  <c r="BV231" i="3" s="1"/>
  <c r="J219" i="7"/>
  <c r="BJ219" i="3"/>
  <c r="BZ219" i="3" s="1"/>
  <c r="H209" i="7"/>
  <c r="BH209" i="3"/>
  <c r="BX209" i="3" s="1"/>
  <c r="F199" i="7"/>
  <c r="BF199" i="3"/>
  <c r="BV199" i="3" s="1"/>
  <c r="BJ228" i="3"/>
  <c r="BZ228" i="3" s="1"/>
  <c r="J228" i="7"/>
  <c r="H218" i="7"/>
  <c r="BH218" i="3"/>
  <c r="BX218" i="3" s="1"/>
  <c r="F208" i="7"/>
  <c r="BF208" i="3"/>
  <c r="BV208" i="3" s="1"/>
  <c r="J196" i="7"/>
  <c r="BJ196" i="3"/>
  <c r="BZ196" i="3" s="1"/>
  <c r="H227" i="7"/>
  <c r="BH227" i="3"/>
  <c r="BX227" i="3" s="1"/>
  <c r="F217" i="7"/>
  <c r="BF217" i="3"/>
  <c r="BV217" i="3" s="1"/>
  <c r="J205" i="7"/>
  <c r="BJ205" i="3"/>
  <c r="BZ205" i="3" s="1"/>
  <c r="BH195" i="3"/>
  <c r="BX195" i="3" s="1"/>
  <c r="G227" i="7"/>
  <c r="BG227" i="3"/>
  <c r="BW227" i="3" s="1"/>
  <c r="E217" i="7"/>
  <c r="BE217" i="3"/>
  <c r="BU217" i="3" s="1"/>
  <c r="I205" i="7"/>
  <c r="BI205" i="3"/>
  <c r="BY205" i="3" s="1"/>
  <c r="G195" i="7"/>
  <c r="BG195" i="3"/>
  <c r="BW195" i="3" s="1"/>
  <c r="F227" i="7"/>
  <c r="BF227" i="3"/>
  <c r="BV227" i="3" s="1"/>
  <c r="BJ215" i="3"/>
  <c r="BZ215" i="3" s="1"/>
  <c r="J215" i="7"/>
  <c r="H205" i="7"/>
  <c r="BH205" i="3"/>
  <c r="BX205" i="3" s="1"/>
  <c r="BF195" i="3"/>
  <c r="BV195" i="3" s="1"/>
  <c r="J278" i="7"/>
  <c r="BJ278" i="3"/>
  <c r="BZ278" i="3" s="1"/>
  <c r="BF214" i="3"/>
  <c r="BV214" i="3" s="1"/>
  <c r="F214" i="7"/>
  <c r="I237" i="7"/>
  <c r="BI237" i="3"/>
  <c r="BY237" i="3" s="1"/>
  <c r="E258" i="7"/>
  <c r="BE258" i="3"/>
  <c r="BU258" i="3" s="1"/>
  <c r="F300" i="7"/>
  <c r="BF300" i="3"/>
  <c r="BV300" i="3" s="1"/>
  <c r="J256" i="7"/>
  <c r="BJ256" i="3"/>
  <c r="BZ256" i="3" s="1"/>
  <c r="I280" i="7"/>
  <c r="BI280" i="3"/>
  <c r="BY280" i="3" s="1"/>
  <c r="G238" i="7"/>
  <c r="BG238" i="3"/>
  <c r="BW238" i="3" s="1"/>
  <c r="J301" i="7"/>
  <c r="BJ301" i="3"/>
  <c r="BZ301" i="3" s="1"/>
  <c r="BH291" i="3"/>
  <c r="BX291" i="3" s="1"/>
  <c r="H291" i="7"/>
  <c r="I292" i="7"/>
  <c r="BI292" i="3"/>
  <c r="BY292" i="3" s="1"/>
  <c r="F274" i="7"/>
  <c r="BF274" i="3"/>
  <c r="BV274" i="3" s="1"/>
  <c r="I277" i="7"/>
  <c r="BI277" i="3"/>
  <c r="BY277" i="3" s="1"/>
  <c r="G290" i="7"/>
  <c r="BG290" i="3"/>
  <c r="BW290" i="3" s="1"/>
  <c r="F241" i="7"/>
  <c r="BF241" i="3"/>
  <c r="BV241" i="3" s="1"/>
  <c r="I285" i="7"/>
  <c r="BI285" i="3"/>
  <c r="BY285" i="3" s="1"/>
  <c r="G298" i="7"/>
  <c r="BG298" i="3"/>
  <c r="BW298" i="3" s="1"/>
  <c r="E248" i="7"/>
  <c r="BE248" i="3"/>
  <c r="BU248" i="3" s="1"/>
  <c r="J270" i="7"/>
  <c r="BJ270" i="3"/>
  <c r="BZ270" i="3" s="1"/>
  <c r="E257" i="7"/>
  <c r="BE257" i="3"/>
  <c r="BU257" i="3" s="1"/>
  <c r="I231" i="7"/>
  <c r="BI231" i="3"/>
  <c r="BY231" i="3" s="1"/>
  <c r="F299" i="7"/>
  <c r="BF299" i="3"/>
  <c r="BV299" i="3" s="1"/>
  <c r="J287" i="7"/>
  <c r="BJ287" i="3"/>
  <c r="BZ287" i="3" s="1"/>
  <c r="H277" i="7"/>
  <c r="BH277" i="3"/>
  <c r="BX277" i="3" s="1"/>
  <c r="F267" i="7"/>
  <c r="BF267" i="3"/>
  <c r="BV267" i="3" s="1"/>
  <c r="J255" i="7"/>
  <c r="BJ255" i="3"/>
  <c r="BZ255" i="3" s="1"/>
  <c r="H245" i="7"/>
  <c r="BH245" i="3"/>
  <c r="BX245" i="3" s="1"/>
  <c r="J226" i="7"/>
  <c r="BJ226" i="3"/>
  <c r="BZ226" i="3" s="1"/>
  <c r="H260" i="7"/>
  <c r="BH260" i="3"/>
  <c r="BX260" i="3" s="1"/>
  <c r="BJ238" i="3"/>
  <c r="BZ238" i="3" s="1"/>
  <c r="J238" i="7"/>
  <c r="E299" i="7"/>
  <c r="BE299" i="3"/>
  <c r="BU299" i="3" s="1"/>
  <c r="BI287" i="3"/>
  <c r="BY287" i="3" s="1"/>
  <c r="I287" i="7"/>
  <c r="G277" i="7"/>
  <c r="BG277" i="3"/>
  <c r="BW277" i="3" s="1"/>
  <c r="E267" i="7"/>
  <c r="BE267" i="3"/>
  <c r="BU267" i="3" s="1"/>
  <c r="I255" i="7"/>
  <c r="BI255" i="3"/>
  <c r="BY255" i="3" s="1"/>
  <c r="G245" i="7"/>
  <c r="BG245" i="3"/>
  <c r="BW245" i="3" s="1"/>
  <c r="H230" i="7"/>
  <c r="BH230" i="3"/>
  <c r="BX230" i="3" s="1"/>
  <c r="F301" i="7"/>
  <c r="BF301" i="3"/>
  <c r="BV301" i="3" s="1"/>
  <c r="J289" i="7"/>
  <c r="BJ289" i="3"/>
  <c r="BZ289" i="3" s="1"/>
  <c r="H279" i="7"/>
  <c r="BH279" i="3"/>
  <c r="BX279" i="3" s="1"/>
  <c r="F269" i="7"/>
  <c r="BF269" i="3"/>
  <c r="BV269" i="3" s="1"/>
  <c r="J257" i="7"/>
  <c r="BJ257" i="3"/>
  <c r="BZ257" i="3" s="1"/>
  <c r="H247" i="7"/>
  <c r="BH247" i="3"/>
  <c r="BX247" i="3" s="1"/>
  <c r="F237" i="7"/>
  <c r="BF237" i="3"/>
  <c r="BV237" i="3" s="1"/>
  <c r="F198" i="7"/>
  <c r="BF198" i="3"/>
  <c r="BV198" i="3" s="1"/>
  <c r="E293" i="7"/>
  <c r="BE293" i="3"/>
  <c r="BU293" i="3" s="1"/>
  <c r="I281" i="7"/>
  <c r="BI281" i="3"/>
  <c r="BY281" i="3" s="1"/>
  <c r="G271" i="7"/>
  <c r="BG271" i="3"/>
  <c r="BW271" i="3" s="1"/>
  <c r="E261" i="7"/>
  <c r="BE261" i="3"/>
  <c r="BU261" i="3" s="1"/>
  <c r="I249" i="7"/>
  <c r="BI249" i="3"/>
  <c r="BY249" i="3" s="1"/>
  <c r="G239" i="7"/>
  <c r="BG239" i="3"/>
  <c r="BW239" i="3" s="1"/>
  <c r="H206" i="7"/>
  <c r="BH206" i="3"/>
  <c r="BX206" i="3" s="1"/>
  <c r="BE294" i="3"/>
  <c r="BU294" i="3" s="1"/>
  <c r="E294" i="7"/>
  <c r="BI282" i="3"/>
  <c r="BY282" i="3" s="1"/>
  <c r="I282" i="7"/>
  <c r="G272" i="7"/>
  <c r="BG272" i="3"/>
  <c r="BW272" i="3" s="1"/>
  <c r="BE262" i="3"/>
  <c r="BU262" i="3" s="1"/>
  <c r="E262" i="7"/>
  <c r="I250" i="7"/>
  <c r="BI250" i="3"/>
  <c r="BY250" i="3" s="1"/>
  <c r="G240" i="7"/>
  <c r="BG240" i="3"/>
  <c r="BW240" i="3" s="1"/>
  <c r="F206" i="7"/>
  <c r="BF206" i="3"/>
  <c r="BV206" i="3" s="1"/>
  <c r="BE295" i="3"/>
  <c r="BU295" i="3" s="1"/>
  <c r="E295" i="7"/>
  <c r="I283" i="7"/>
  <c r="BI283" i="3"/>
  <c r="BY283" i="3" s="1"/>
  <c r="G273" i="7"/>
  <c r="BG273" i="3"/>
  <c r="BW273" i="3" s="1"/>
  <c r="BE263" i="3"/>
  <c r="BU263" i="3" s="1"/>
  <c r="E263" i="7"/>
  <c r="I251" i="7"/>
  <c r="BI251" i="3"/>
  <c r="BY251" i="3" s="1"/>
  <c r="G241" i="7"/>
  <c r="BG241" i="3"/>
  <c r="BW241" i="3" s="1"/>
  <c r="H214" i="7"/>
  <c r="BH214" i="3"/>
  <c r="BX214" i="3" s="1"/>
  <c r="G230" i="7"/>
  <c r="BG230" i="3"/>
  <c r="BW230" i="3" s="1"/>
  <c r="E220" i="7"/>
  <c r="BE220" i="3"/>
  <c r="BU220" i="3" s="1"/>
  <c r="I208" i="7"/>
  <c r="BI208" i="3"/>
  <c r="BY208" i="3" s="1"/>
  <c r="G198" i="7"/>
  <c r="BG198" i="3"/>
  <c r="BW198" i="3" s="1"/>
  <c r="BE230" i="3"/>
  <c r="BU230" i="3" s="1"/>
  <c r="E230" i="7"/>
  <c r="I218" i="7"/>
  <c r="BI218" i="3"/>
  <c r="BY218" i="3" s="1"/>
  <c r="G208" i="7"/>
  <c r="BG208" i="3"/>
  <c r="BW208" i="3" s="1"/>
  <c r="E198" i="7"/>
  <c r="BE198" i="3"/>
  <c r="BU198" i="3" s="1"/>
  <c r="I227" i="7"/>
  <c r="BI227" i="3"/>
  <c r="BY227" i="3" s="1"/>
  <c r="G217" i="7"/>
  <c r="BG217" i="3"/>
  <c r="BW217" i="3" s="1"/>
  <c r="BE207" i="3"/>
  <c r="BU207" i="3" s="1"/>
  <c r="E207" i="7"/>
  <c r="BI195" i="3"/>
  <c r="BY195" i="3" s="1"/>
  <c r="G226" i="7"/>
  <c r="BG226" i="3"/>
  <c r="BW226" i="3" s="1"/>
  <c r="E216" i="7"/>
  <c r="BE216" i="3"/>
  <c r="BU216" i="3" s="1"/>
  <c r="I204" i="7"/>
  <c r="BI204" i="3"/>
  <c r="BY204" i="3" s="1"/>
  <c r="H236" i="7"/>
  <c r="BH236" i="3"/>
  <c r="BX236" i="3" s="1"/>
  <c r="F226" i="7"/>
  <c r="BF226" i="3"/>
  <c r="BV226" i="3" s="1"/>
  <c r="J214" i="7"/>
  <c r="BJ214" i="3"/>
  <c r="BZ214" i="3" s="1"/>
  <c r="H204" i="7"/>
  <c r="BH204" i="3"/>
  <c r="BX204" i="3" s="1"/>
  <c r="G236" i="7"/>
  <c r="BG236" i="3"/>
  <c r="BW236" i="3" s="1"/>
  <c r="E226" i="7"/>
  <c r="BE226" i="3"/>
  <c r="BU226" i="3" s="1"/>
  <c r="I214" i="7"/>
  <c r="BI214" i="3"/>
  <c r="BY214" i="3" s="1"/>
  <c r="BG204" i="3"/>
  <c r="BW204" i="3" s="1"/>
  <c r="G204" i="7"/>
  <c r="D201" i="2"/>
  <c r="D209" i="2"/>
  <c r="D217" i="2"/>
  <c r="D225" i="2"/>
  <c r="D233" i="2"/>
  <c r="D200" i="2"/>
  <c r="D208" i="2"/>
  <c r="D216" i="2"/>
  <c r="D224" i="2"/>
  <c r="D232" i="2"/>
  <c r="D199" i="2"/>
  <c r="D207" i="2"/>
  <c r="D215" i="2"/>
  <c r="D223" i="2"/>
  <c r="D231" i="2"/>
  <c r="D198" i="2"/>
  <c r="D206" i="2"/>
  <c r="D214" i="2"/>
  <c r="D222" i="2"/>
  <c r="D230" i="2"/>
  <c r="D197" i="2"/>
  <c r="D205" i="2"/>
  <c r="D213" i="2"/>
  <c r="D221" i="2"/>
  <c r="D229" i="2"/>
  <c r="D195" i="2"/>
  <c r="D203" i="2"/>
  <c r="D211" i="2"/>
  <c r="D219" i="2"/>
  <c r="D227" i="2"/>
  <c r="D235" i="2"/>
  <c r="D210" i="2"/>
  <c r="D238" i="2"/>
  <c r="D246" i="2"/>
  <c r="D254" i="2"/>
  <c r="D262" i="2"/>
  <c r="D270" i="2"/>
  <c r="D278" i="2"/>
  <c r="D286" i="2"/>
  <c r="D294" i="2"/>
  <c r="D302" i="2"/>
  <c r="D220" i="2"/>
  <c r="D237" i="2"/>
  <c r="D245" i="2"/>
  <c r="D253" i="2"/>
  <c r="D261" i="2"/>
  <c r="D269" i="2"/>
  <c r="D277" i="2"/>
  <c r="D285" i="2"/>
  <c r="D293" i="2"/>
  <c r="D301" i="2"/>
  <c r="D202" i="2"/>
  <c r="D234" i="2"/>
  <c r="D244" i="2"/>
  <c r="D252" i="2"/>
  <c r="D260" i="2"/>
  <c r="D268" i="2"/>
  <c r="D276" i="2"/>
  <c r="D284" i="2"/>
  <c r="D292" i="2"/>
  <c r="D300" i="2"/>
  <c r="D212" i="2"/>
  <c r="D243" i="2"/>
  <c r="D251" i="2"/>
  <c r="D259" i="2"/>
  <c r="D267" i="2"/>
  <c r="D275" i="2"/>
  <c r="D283" i="2"/>
  <c r="D291" i="2"/>
  <c r="D299" i="2"/>
  <c r="D226" i="2"/>
  <c r="D242" i="2"/>
  <c r="D250" i="2"/>
  <c r="D258" i="2"/>
  <c r="D266" i="2"/>
  <c r="D274" i="2"/>
  <c r="D282" i="2"/>
  <c r="D290" i="2"/>
  <c r="D298" i="2"/>
  <c r="D218" i="2"/>
  <c r="D248" i="2"/>
  <c r="D256" i="2"/>
  <c r="D204" i="2"/>
  <c r="D236" i="2"/>
  <c r="D241" i="2"/>
  <c r="D249" i="2"/>
  <c r="D257" i="2"/>
  <c r="D265" i="2"/>
  <c r="D273" i="2"/>
  <c r="D281" i="2"/>
  <c r="D289" i="2"/>
  <c r="D297" i="2"/>
  <c r="D240" i="2"/>
  <c r="D264" i="2"/>
  <c r="D247" i="2"/>
  <c r="D280" i="2"/>
  <c r="D239" i="2"/>
  <c r="D271" i="2"/>
  <c r="D272" i="2"/>
  <c r="D279" i="2"/>
  <c r="D295" i="2"/>
  <c r="D296" i="2"/>
  <c r="D196" i="2"/>
  <c r="D288" i="2"/>
  <c r="D263" i="2"/>
  <c r="D255" i="2"/>
  <c r="D228" i="2"/>
  <c r="D287" i="2"/>
  <c r="F134" i="7"/>
  <c r="BF134" i="3"/>
  <c r="BV134" i="3" s="1"/>
  <c r="G130" i="7"/>
  <c r="BG130" i="3"/>
  <c r="BW130" i="3" s="1"/>
  <c r="BG132" i="3"/>
  <c r="BW132" i="3" s="1"/>
  <c r="G132" i="7"/>
  <c r="E133" i="7"/>
  <c r="BE133" i="3"/>
  <c r="BU133" i="3" s="1"/>
  <c r="J134" i="7"/>
  <c r="BJ134" i="3"/>
  <c r="BZ134" i="3" s="1"/>
  <c r="F132" i="7"/>
  <c r="BF132" i="3"/>
  <c r="BV132" i="3" s="1"/>
  <c r="D132" i="7"/>
  <c r="BD132" i="2"/>
  <c r="A132" i="2" a="1"/>
  <c r="A132" i="2" s="1"/>
  <c r="BD132" i="3"/>
  <c r="BT132" i="3" s="1"/>
  <c r="J132" i="7"/>
  <c r="BJ132" i="3"/>
  <c r="BZ132" i="3" s="1"/>
  <c r="BF129" i="3"/>
  <c r="BV129" i="3" s="1"/>
  <c r="F131" i="7"/>
  <c r="BF131" i="3"/>
  <c r="BV131" i="3" s="1"/>
  <c r="D134" i="7"/>
  <c r="A134" i="2" a="1"/>
  <c r="A134" i="2" s="1"/>
  <c r="BD134" i="3"/>
  <c r="BT134" i="3" s="1"/>
  <c r="BD134" i="2"/>
  <c r="I133" i="7"/>
  <c r="BI133" i="3"/>
  <c r="BY133" i="3" s="1"/>
  <c r="E131" i="7"/>
  <c r="BE131" i="3"/>
  <c r="BU131" i="3" s="1"/>
  <c r="J130" i="7"/>
  <c r="BJ130" i="3"/>
  <c r="BZ130" i="3" s="1"/>
  <c r="I131" i="7"/>
  <c r="BI131" i="3"/>
  <c r="BY131" i="3" s="1"/>
  <c r="E130" i="7"/>
  <c r="BE130" i="3"/>
  <c r="BU130" i="3" s="1"/>
  <c r="G134" i="7"/>
  <c r="BG134" i="3"/>
  <c r="BW134" i="3" s="1"/>
  <c r="D130" i="7"/>
  <c r="BD130" i="2"/>
  <c r="A130" i="2" a="1"/>
  <c r="A130" i="2" s="1"/>
  <c r="BD130" i="3"/>
  <c r="BT130" i="3" s="1"/>
  <c r="BI129" i="3"/>
  <c r="BY129" i="3" s="1"/>
  <c r="H130" i="7"/>
  <c r="BH130" i="3"/>
  <c r="BX130" i="3" s="1"/>
  <c r="H132" i="7"/>
  <c r="BH132" i="3"/>
  <c r="BX132" i="3" s="1"/>
  <c r="BD129" i="3"/>
  <c r="BT129" i="3" s="1"/>
  <c r="BD129" i="2"/>
  <c r="A129" i="2" a="1"/>
  <c r="A129" i="2" s="1"/>
  <c r="F133" i="7"/>
  <c r="BF133" i="3"/>
  <c r="BV133" i="3" s="1"/>
  <c r="BG129" i="3"/>
  <c r="BW129" i="3" s="1"/>
  <c r="G131" i="7"/>
  <c r="BG131" i="3"/>
  <c r="BW131" i="3" s="1"/>
  <c r="E134" i="7"/>
  <c r="BE134" i="3"/>
  <c r="BU134" i="3" s="1"/>
  <c r="I134" i="7"/>
  <c r="BI134" i="3"/>
  <c r="BY134" i="3" s="1"/>
  <c r="E132" i="7"/>
  <c r="BE132" i="3"/>
  <c r="BU132" i="3" s="1"/>
  <c r="J131" i="7"/>
  <c r="BJ131" i="3"/>
  <c r="BZ131" i="3" s="1"/>
  <c r="F130" i="7"/>
  <c r="BF130" i="3"/>
  <c r="BV130" i="3" s="1"/>
  <c r="H134" i="7"/>
  <c r="BH134" i="3"/>
  <c r="BX134" i="3" s="1"/>
  <c r="D133" i="7"/>
  <c r="A133" i="2" a="1"/>
  <c r="A133" i="2" s="1"/>
  <c r="BD133" i="2"/>
  <c r="BD133" i="3"/>
  <c r="BT133" i="3" s="1"/>
  <c r="J133" i="7"/>
  <c r="BJ133" i="3"/>
  <c r="BZ133" i="3" s="1"/>
  <c r="H133" i="7"/>
  <c r="BH133" i="3"/>
  <c r="BX133" i="3" s="1"/>
  <c r="D131" i="7"/>
  <c r="BD131" i="2"/>
  <c r="A131" i="2" a="1"/>
  <c r="A131" i="2" s="1"/>
  <c r="BD131" i="3"/>
  <c r="BT131" i="3" s="1"/>
  <c r="I130" i="7"/>
  <c r="BI130" i="3"/>
  <c r="BY130" i="3" s="1"/>
  <c r="I132" i="7"/>
  <c r="BI132" i="3"/>
  <c r="BY132" i="3" s="1"/>
  <c r="BE129" i="3"/>
  <c r="BU129" i="3" s="1"/>
  <c r="G133" i="7"/>
  <c r="BG133" i="3"/>
  <c r="BW133" i="3" s="1"/>
  <c r="BJ129" i="3"/>
  <c r="BZ129" i="3" s="1"/>
  <c r="J129" i="7"/>
  <c r="BH129" i="3"/>
  <c r="BX129" i="3" s="1"/>
  <c r="H131" i="7"/>
  <c r="BH131" i="3"/>
  <c r="BX131" i="3" s="1"/>
  <c r="BD142" i="3"/>
  <c r="BT142" i="3" s="1"/>
  <c r="D142" i="7"/>
  <c r="BI103" i="3"/>
  <c r="BY103" i="3" s="1"/>
  <c r="I103" i="7"/>
  <c r="BH142" i="3"/>
  <c r="BX142" i="3" s="1"/>
  <c r="H142" i="7"/>
  <c r="BI138" i="3"/>
  <c r="BY138" i="3" s="1"/>
  <c r="I138" i="7"/>
  <c r="BD124" i="3"/>
  <c r="BT124" i="3" s="1"/>
  <c r="D124" i="7"/>
  <c r="BI123" i="3"/>
  <c r="BY123" i="3" s="1"/>
  <c r="BH106" i="3"/>
  <c r="BX106" i="3" s="1"/>
  <c r="H106" i="7"/>
  <c r="BF76" i="3"/>
  <c r="BV76" i="3" s="1"/>
  <c r="F76" i="7"/>
  <c r="BD64" i="3"/>
  <c r="BT64" i="3" s="1"/>
  <c r="D64" i="7"/>
  <c r="BI63" i="3"/>
  <c r="BY63" i="3" s="1"/>
  <c r="BH57" i="3"/>
  <c r="BX57" i="3" s="1"/>
  <c r="BI53" i="3"/>
  <c r="BY53" i="3" s="1"/>
  <c r="I53" i="7"/>
  <c r="BH82" i="3"/>
  <c r="BX82" i="3" s="1"/>
  <c r="H82" i="7"/>
  <c r="BI78" i="3"/>
  <c r="BY78" i="3" s="1"/>
  <c r="I78" i="7"/>
  <c r="BH33" i="3"/>
  <c r="BX33" i="3" s="1"/>
  <c r="BG34" i="3"/>
  <c r="BW34" i="3" s="1"/>
  <c r="G34" i="7"/>
  <c r="BE22" i="3"/>
  <c r="BU22" i="3" s="1"/>
  <c r="E22" i="7"/>
  <c r="BH16" i="3"/>
  <c r="BX16" i="3" s="1"/>
  <c r="H16" i="7"/>
  <c r="BH51" i="3"/>
  <c r="BX51" i="3" s="1"/>
  <c r="BI43" i="3"/>
  <c r="BY43" i="3" s="1"/>
  <c r="I43" i="7"/>
  <c r="BE147" i="3"/>
  <c r="BU147" i="3" s="1"/>
  <c r="BI42" i="3"/>
  <c r="BY42" i="3" s="1"/>
  <c r="I42" i="7"/>
  <c r="BE39" i="3"/>
  <c r="BU39" i="3" s="1"/>
  <c r="BD40" i="3"/>
  <c r="BT40" i="3" s="1"/>
  <c r="D40" i="7"/>
  <c r="BI39" i="3"/>
  <c r="BY39" i="3" s="1"/>
  <c r="BI159" i="3"/>
  <c r="BY159" i="3" s="1"/>
  <c r="BH160" i="3"/>
  <c r="BX160" i="3" s="1"/>
  <c r="H160" i="7"/>
  <c r="BD159" i="3"/>
  <c r="BT159" i="3" s="1"/>
  <c r="BI158" i="3"/>
  <c r="BY158" i="3" s="1"/>
  <c r="I158" i="7"/>
  <c r="BG136" i="3"/>
  <c r="BW136" i="3" s="1"/>
  <c r="G136" i="7"/>
  <c r="BD117" i="3"/>
  <c r="BT117" i="3" s="1"/>
  <c r="BI91" i="3"/>
  <c r="BY91" i="3" s="1"/>
  <c r="I91" i="7"/>
  <c r="BE88" i="3"/>
  <c r="BU88" i="3" s="1"/>
  <c r="E88" i="7"/>
  <c r="BD58" i="3"/>
  <c r="BT58" i="3" s="1"/>
  <c r="D58" i="7"/>
  <c r="BI29" i="3"/>
  <c r="BY29" i="3" s="1"/>
  <c r="I29" i="7"/>
  <c r="BF153" i="3"/>
  <c r="BV153" i="3" s="1"/>
  <c r="BI152" i="3"/>
  <c r="BY152" i="3" s="1"/>
  <c r="I152" i="7"/>
  <c r="BI149" i="3"/>
  <c r="BY149" i="3" s="1"/>
  <c r="I149" i="7"/>
  <c r="BG118" i="3"/>
  <c r="BW118" i="3" s="1"/>
  <c r="G118" i="7"/>
  <c r="BH100" i="3"/>
  <c r="BX100" i="3" s="1"/>
  <c r="H100" i="7"/>
  <c r="BI98" i="3"/>
  <c r="BY98" i="3" s="1"/>
  <c r="I98" i="7"/>
  <c r="BD93" i="3"/>
  <c r="BT93" i="3" s="1"/>
  <c r="BH93" i="3"/>
  <c r="BX93" i="3" s="1"/>
  <c r="BG94" i="3"/>
  <c r="BW94" i="3" s="1"/>
  <c r="G94" i="7"/>
  <c r="BH27" i="3"/>
  <c r="BX27" i="3" s="1"/>
  <c r="BI23" i="3"/>
  <c r="BY23" i="3" s="1"/>
  <c r="I23" i="7"/>
  <c r="BJ166" i="3"/>
  <c r="BZ166" i="3" s="1"/>
  <c r="J166" i="7"/>
  <c r="BD166" i="3"/>
  <c r="BT166" i="3" s="1"/>
  <c r="D166" i="7"/>
  <c r="BI173" i="3"/>
  <c r="BY173" i="3" s="1"/>
  <c r="I173" i="7"/>
  <c r="BI171" i="3"/>
  <c r="BY171" i="3" s="1"/>
  <c r="BI190" i="3"/>
  <c r="BY190" i="3" s="1"/>
  <c r="BG184" i="3"/>
  <c r="BW184" i="3" s="1"/>
  <c r="BI182" i="3"/>
  <c r="BY182" i="3" s="1"/>
  <c r="I182" i="7"/>
  <c r="BJ178" i="3"/>
  <c r="BZ178" i="3" s="1"/>
  <c r="J178" i="7"/>
  <c r="BG178" i="3"/>
  <c r="BW178" i="3" s="1"/>
  <c r="G178" i="7"/>
  <c r="BJ112" i="3"/>
  <c r="BZ112" i="3" s="1"/>
  <c r="J112" i="7"/>
  <c r="BI76" i="3"/>
  <c r="BY76" i="3" s="1"/>
  <c r="I76" i="7"/>
  <c r="BD82" i="3"/>
  <c r="BT82" i="3" s="1"/>
  <c r="D82" i="7"/>
  <c r="BJ16" i="3"/>
  <c r="BZ16" i="3" s="1"/>
  <c r="J16" i="7"/>
  <c r="BD28" i="3"/>
  <c r="BT28" i="3" s="1"/>
  <c r="D28" i="7"/>
  <c r="BJ148" i="3"/>
  <c r="BZ148" i="3" s="1"/>
  <c r="J148" i="7"/>
  <c r="BE100" i="3"/>
  <c r="BU100" i="3" s="1"/>
  <c r="E100" i="7"/>
  <c r="BI165" i="3"/>
  <c r="BY165" i="3" s="1"/>
  <c r="BI168" i="3"/>
  <c r="BY168" i="3" s="1"/>
  <c r="I168" i="7"/>
  <c r="BH189" i="3"/>
  <c r="BX189" i="3" s="1"/>
  <c r="BI111" i="3"/>
  <c r="BY111" i="3" s="1"/>
  <c r="BI126" i="3"/>
  <c r="BY126" i="3" s="1"/>
  <c r="I126" i="7"/>
  <c r="BE69" i="3"/>
  <c r="BU69" i="3" s="1"/>
  <c r="BD70" i="3"/>
  <c r="BT70" i="3" s="1"/>
  <c r="D70" i="7"/>
  <c r="BI69" i="3"/>
  <c r="BY69" i="3" s="1"/>
  <c r="BH70" i="3"/>
  <c r="BX70" i="3" s="1"/>
  <c r="H70" i="7"/>
  <c r="BI56" i="3"/>
  <c r="BY56" i="3" s="1"/>
  <c r="I56" i="7"/>
  <c r="BI35" i="3"/>
  <c r="BY35" i="3" s="1"/>
  <c r="I35" i="7"/>
  <c r="BI37" i="3"/>
  <c r="BY37" i="3" s="1"/>
  <c r="I37" i="7"/>
  <c r="BE34" i="3"/>
  <c r="BU34" i="3" s="1"/>
  <c r="E34" i="7"/>
  <c r="BF16" i="3"/>
  <c r="BV16" i="3" s="1"/>
  <c r="F16" i="7"/>
  <c r="BD16" i="3"/>
  <c r="BT16" i="3" s="1"/>
  <c r="D16" i="7"/>
  <c r="BI15" i="3"/>
  <c r="BY15" i="3" s="1"/>
  <c r="BD52" i="3"/>
  <c r="BT52" i="3" s="1"/>
  <c r="D52" i="7"/>
  <c r="BJ52" i="3"/>
  <c r="BZ52" i="3" s="1"/>
  <c r="J52" i="7"/>
  <c r="BE46" i="3"/>
  <c r="BU46" i="3" s="1"/>
  <c r="E46" i="7"/>
  <c r="BI46" i="3"/>
  <c r="BY46" i="3" s="1"/>
  <c r="I46" i="7"/>
  <c r="BG40" i="3"/>
  <c r="BW40" i="3" s="1"/>
  <c r="G40" i="7"/>
  <c r="BF160" i="3"/>
  <c r="BV160" i="3" s="1"/>
  <c r="F160" i="7"/>
  <c r="BI135" i="3"/>
  <c r="BY135" i="3" s="1"/>
  <c r="BI137" i="3"/>
  <c r="BY137" i="3" s="1"/>
  <c r="I137" i="7"/>
  <c r="BI114" i="3"/>
  <c r="BY114" i="3" s="1"/>
  <c r="I114" i="7"/>
  <c r="BH88" i="3"/>
  <c r="BX88" i="3" s="1"/>
  <c r="H88" i="7"/>
  <c r="BF28" i="3"/>
  <c r="BV28" i="3" s="1"/>
  <c r="F28" i="7"/>
  <c r="BJ154" i="3"/>
  <c r="BZ154" i="3" s="1"/>
  <c r="J154" i="7"/>
  <c r="BH154" i="3"/>
  <c r="BX154" i="3" s="1"/>
  <c r="H154" i="7"/>
  <c r="BI121" i="3"/>
  <c r="BY121" i="3" s="1"/>
  <c r="I121" i="7"/>
  <c r="BE118" i="3"/>
  <c r="BU118" i="3" s="1"/>
  <c r="E118" i="7"/>
  <c r="BI102" i="3"/>
  <c r="BY102" i="3" s="1"/>
  <c r="I102" i="7"/>
  <c r="BF94" i="3"/>
  <c r="BV94" i="3" s="1"/>
  <c r="F94" i="7"/>
  <c r="BI95" i="3"/>
  <c r="BY95" i="3" s="1"/>
  <c r="I95" i="7"/>
  <c r="BI167" i="3"/>
  <c r="BY167" i="3" s="1"/>
  <c r="I167" i="7"/>
  <c r="BF166" i="3"/>
  <c r="BV166" i="3" s="1"/>
  <c r="F166" i="7"/>
  <c r="BI163" i="3"/>
  <c r="BY163" i="3" s="1"/>
  <c r="I163" i="7"/>
  <c r="BD190" i="3"/>
  <c r="BT190" i="3" s="1"/>
  <c r="BF112" i="3"/>
  <c r="BV112" i="3" s="1"/>
  <c r="F112" i="7"/>
  <c r="BI112" i="3"/>
  <c r="BY112" i="3" s="1"/>
  <c r="I112" i="7"/>
  <c r="BE87" i="3"/>
  <c r="BU87" i="3" s="1"/>
  <c r="BE75" i="3"/>
  <c r="BU75" i="3" s="1"/>
  <c r="BI22" i="3"/>
  <c r="BY22" i="3" s="1"/>
  <c r="I22" i="7"/>
  <c r="BJ28" i="3"/>
  <c r="BZ28" i="3" s="1"/>
  <c r="J28" i="7"/>
  <c r="BE154" i="3"/>
  <c r="BU154" i="3" s="1"/>
  <c r="E154" i="7"/>
  <c r="BH148" i="3"/>
  <c r="BX148" i="3" s="1"/>
  <c r="H148" i="7"/>
  <c r="BJ100" i="3"/>
  <c r="BZ100" i="3" s="1"/>
  <c r="J100" i="7"/>
  <c r="BI184" i="3"/>
  <c r="BY184" i="3" s="1"/>
  <c r="BI177" i="3"/>
  <c r="BY177" i="3" s="1"/>
  <c r="I177" i="7" s="1"/>
  <c r="BE141" i="3"/>
  <c r="BU141" i="3" s="1"/>
  <c r="BI74" i="3"/>
  <c r="BY74" i="3" s="1"/>
  <c r="I74" i="7"/>
  <c r="BI124" i="3"/>
  <c r="BY124" i="3" s="1"/>
  <c r="I124" i="7"/>
  <c r="BI106" i="3"/>
  <c r="BY106" i="3" s="1"/>
  <c r="I106" i="7"/>
  <c r="BI65" i="3"/>
  <c r="BY65" i="3" s="1"/>
  <c r="I65" i="7"/>
  <c r="BI67" i="3"/>
  <c r="BY67" i="3" s="1"/>
  <c r="I67" i="7"/>
  <c r="BE64" i="3"/>
  <c r="BU64" i="3" s="1"/>
  <c r="E64" i="7"/>
  <c r="BI64" i="3"/>
  <c r="BY64" i="3" s="1"/>
  <c r="I64" i="7"/>
  <c r="BI57" i="3"/>
  <c r="BY57" i="3" s="1"/>
  <c r="BI54" i="3"/>
  <c r="BY54" i="3" s="1"/>
  <c r="I54" i="7"/>
  <c r="BI82" i="3"/>
  <c r="BY82" i="3" s="1"/>
  <c r="I82" i="7"/>
  <c r="BI79" i="3"/>
  <c r="BY79" i="3" s="1"/>
  <c r="I79" i="7"/>
  <c r="BJ34" i="3"/>
  <c r="BZ34" i="3" s="1"/>
  <c r="J34" i="7"/>
  <c r="BH34" i="3"/>
  <c r="BX34" i="3" s="1"/>
  <c r="H34" i="7"/>
  <c r="BJ33" i="3"/>
  <c r="BZ33" i="3" s="1"/>
  <c r="BI18" i="3"/>
  <c r="BY18" i="3" s="1"/>
  <c r="I18" i="7"/>
  <c r="BG22" i="3"/>
  <c r="BW22" i="3" s="1"/>
  <c r="G22" i="7"/>
  <c r="BE15" i="3"/>
  <c r="BU15" i="3" s="1"/>
  <c r="BI51" i="3"/>
  <c r="BY51" i="3" s="1"/>
  <c r="BI44" i="3"/>
  <c r="BY44" i="3" s="1"/>
  <c r="I44" i="7"/>
  <c r="BH45" i="3"/>
  <c r="BX45" i="3" s="1"/>
  <c r="BI143" i="3"/>
  <c r="BY143" i="3" s="1"/>
  <c r="I143" i="7"/>
  <c r="BI40" i="3"/>
  <c r="BY40" i="3" s="1"/>
  <c r="I40" i="7"/>
  <c r="BI160" i="3"/>
  <c r="BY160" i="3" s="1"/>
  <c r="I160" i="7"/>
  <c r="BI162" i="3"/>
  <c r="BY162" i="3" s="1"/>
  <c r="I162" i="7"/>
  <c r="BE159" i="3"/>
  <c r="BU159" i="3" s="1"/>
  <c r="E159" i="7" s="1"/>
  <c r="BD160" i="3"/>
  <c r="BT160" i="3" s="1"/>
  <c r="D160" i="7"/>
  <c r="BH136" i="3"/>
  <c r="BX136" i="3" s="1"/>
  <c r="H136" i="7"/>
  <c r="BF88" i="3"/>
  <c r="BV88" i="3" s="1"/>
  <c r="F88" i="7"/>
  <c r="BI61" i="3"/>
  <c r="BY61" i="3" s="1"/>
  <c r="I61" i="7"/>
  <c r="BE58" i="3"/>
  <c r="BU58" i="3" s="1"/>
  <c r="E58" i="7"/>
  <c r="BI30" i="3"/>
  <c r="BY30" i="3" s="1"/>
  <c r="I30" i="7"/>
  <c r="BI32" i="3"/>
  <c r="BY32" i="3" s="1"/>
  <c r="I32" i="7"/>
  <c r="BD154" i="3"/>
  <c r="BT154" i="3" s="1"/>
  <c r="D154" i="7"/>
  <c r="BI153" i="3"/>
  <c r="BY153" i="3" s="1"/>
  <c r="I153" i="7" s="1"/>
  <c r="BI150" i="3"/>
  <c r="BY150" i="3" s="1"/>
  <c r="I150" i="7"/>
  <c r="BI119" i="3"/>
  <c r="BY119" i="3" s="1"/>
  <c r="I119" i="7"/>
  <c r="BI118" i="3"/>
  <c r="BY118" i="3" s="1"/>
  <c r="I118" i="7"/>
  <c r="BJ94" i="3"/>
  <c r="BZ94" i="3" s="1"/>
  <c r="J94" i="7"/>
  <c r="BH94" i="3"/>
  <c r="BX94" i="3" s="1"/>
  <c r="H94" i="7"/>
  <c r="BI25" i="3"/>
  <c r="BY25" i="3" s="1"/>
  <c r="I25" i="7"/>
  <c r="BI27" i="3"/>
  <c r="BY27" i="3" s="1"/>
  <c r="BI24" i="3"/>
  <c r="BY24" i="3" s="1"/>
  <c r="I24" i="7"/>
  <c r="BH166" i="3"/>
  <c r="BX166" i="3" s="1"/>
  <c r="H166" i="7"/>
  <c r="BG166" i="3"/>
  <c r="BW166" i="3" s="1"/>
  <c r="G166" i="7"/>
  <c r="BI164" i="3"/>
  <c r="BY164" i="3" s="1"/>
  <c r="I164" i="7"/>
  <c r="BI175" i="3"/>
  <c r="BY175" i="3" s="1"/>
  <c r="I175" i="7"/>
  <c r="BG190" i="3"/>
  <c r="BW190" i="3" s="1"/>
  <c r="BF190" i="3"/>
  <c r="BV190" i="3" s="1"/>
  <c r="BE190" i="3"/>
  <c r="BU190" i="3" s="1"/>
  <c r="BI110" i="3"/>
  <c r="BY110" i="3" s="1"/>
  <c r="I110" i="7"/>
  <c r="BD184" i="3"/>
  <c r="BT184" i="3" s="1"/>
  <c r="BH184" i="3"/>
  <c r="BX184" i="3" s="1"/>
  <c r="BD178" i="3"/>
  <c r="BT178" i="3" s="1"/>
  <c r="D178" i="7"/>
  <c r="BH178" i="3"/>
  <c r="BX178" i="3" s="1"/>
  <c r="H178" i="7"/>
  <c r="BF70" i="3"/>
  <c r="BV70" i="3" s="1"/>
  <c r="F70" i="7"/>
  <c r="BF33" i="3"/>
  <c r="BV33" i="3" s="1"/>
  <c r="BG52" i="3"/>
  <c r="BW52" i="3" s="1"/>
  <c r="G52" i="7"/>
  <c r="BI145" i="3"/>
  <c r="BY145" i="3" s="1"/>
  <c r="I145" i="7"/>
  <c r="BI116" i="3"/>
  <c r="BY116" i="3" s="1"/>
  <c r="I116" i="7"/>
  <c r="BI58" i="3"/>
  <c r="BY58" i="3" s="1"/>
  <c r="I58" i="7"/>
  <c r="BH28" i="3"/>
  <c r="BX28" i="3" s="1"/>
  <c r="H28" i="7"/>
  <c r="BD99" i="3"/>
  <c r="BT99" i="3" s="1"/>
  <c r="BF27" i="3"/>
  <c r="BV27" i="3" s="1"/>
  <c r="BE166" i="3"/>
  <c r="BU166" i="3" s="1"/>
  <c r="E166" i="7"/>
  <c r="BH172" i="3"/>
  <c r="BX172" i="3" s="1"/>
  <c r="H172" i="7"/>
  <c r="BJ190" i="3"/>
  <c r="BZ190" i="3" s="1"/>
  <c r="BI85" i="3"/>
  <c r="BY85" i="3" s="1"/>
  <c r="I85" i="7"/>
  <c r="BE124" i="3"/>
  <c r="BU124" i="3" s="1"/>
  <c r="E124" i="7"/>
  <c r="BE105" i="3"/>
  <c r="BU105" i="3" s="1"/>
  <c r="BH123" i="3"/>
  <c r="BX123" i="3" s="1"/>
  <c r="BI104" i="3"/>
  <c r="BY104" i="3" s="1"/>
  <c r="I104" i="7"/>
  <c r="BI83" i="3"/>
  <c r="BY83" i="3" s="1"/>
  <c r="I83" i="7"/>
  <c r="BE76" i="3"/>
  <c r="BU76" i="3" s="1"/>
  <c r="E76" i="7"/>
  <c r="BH64" i="3"/>
  <c r="BX64" i="3" s="1"/>
  <c r="H64" i="7"/>
  <c r="BI33" i="3"/>
  <c r="BY33" i="3" s="1"/>
  <c r="BF22" i="3"/>
  <c r="BV22" i="3" s="1"/>
  <c r="F22" i="7"/>
  <c r="BD22" i="3"/>
  <c r="BT22" i="3" s="1"/>
  <c r="D22" i="7"/>
  <c r="BJ22" i="3"/>
  <c r="BZ22" i="3" s="1"/>
  <c r="J22" i="7"/>
  <c r="BI49" i="3"/>
  <c r="BY49" i="3" s="1"/>
  <c r="I49" i="7"/>
  <c r="BH52" i="3"/>
  <c r="BX52" i="3" s="1"/>
  <c r="H52" i="7"/>
  <c r="BI48" i="3"/>
  <c r="BY48" i="3" s="1"/>
  <c r="I48" i="7"/>
  <c r="BG46" i="3"/>
  <c r="BW46" i="3" s="1"/>
  <c r="G46" i="7"/>
  <c r="BI41" i="3"/>
  <c r="BY41" i="3" s="1"/>
  <c r="I41" i="7"/>
  <c r="BE40" i="3"/>
  <c r="BU40" i="3" s="1"/>
  <c r="E40" i="7"/>
  <c r="BI90" i="3"/>
  <c r="BY90" i="3" s="1"/>
  <c r="I90" i="7"/>
  <c r="BI92" i="3"/>
  <c r="BY92" i="3" s="1"/>
  <c r="I92" i="7"/>
  <c r="BI59" i="3"/>
  <c r="BY59" i="3" s="1"/>
  <c r="I59" i="7"/>
  <c r="BF154" i="3"/>
  <c r="BV154" i="3" s="1"/>
  <c r="F154" i="7"/>
  <c r="BI151" i="3"/>
  <c r="BY151" i="3" s="1"/>
  <c r="I151" i="7"/>
  <c r="BE148" i="3"/>
  <c r="BU148" i="3" s="1"/>
  <c r="E148" i="7"/>
  <c r="BH118" i="3"/>
  <c r="BX118" i="3" s="1"/>
  <c r="H118" i="7"/>
  <c r="BD100" i="3"/>
  <c r="BT100" i="3" s="1"/>
  <c r="D100" i="7"/>
  <c r="BI100" i="3"/>
  <c r="BY100" i="3" s="1"/>
  <c r="I100" i="7"/>
  <c r="BG100" i="3"/>
  <c r="BW100" i="3" s="1"/>
  <c r="G100" i="7"/>
  <c r="BD94" i="3"/>
  <c r="BT94" i="3" s="1"/>
  <c r="D94" i="7"/>
  <c r="BI93" i="3"/>
  <c r="BY93" i="3" s="1"/>
  <c r="BD172" i="3"/>
  <c r="BT172" i="3" s="1"/>
  <c r="D172" i="7"/>
  <c r="BI108" i="3"/>
  <c r="BY108" i="3" s="1"/>
  <c r="I108" i="7"/>
  <c r="BE178" i="3"/>
  <c r="BU178" i="3" s="1"/>
  <c r="E178" i="7"/>
  <c r="BE112" i="3"/>
  <c r="BU112" i="3" s="1"/>
  <c r="E112" i="7"/>
  <c r="BH112" i="3"/>
  <c r="BX112" i="3" s="1"/>
  <c r="H112" i="7"/>
  <c r="BF142" i="3"/>
  <c r="BV142" i="3" s="1"/>
  <c r="F142" i="7"/>
  <c r="BJ70" i="3"/>
  <c r="BZ70" i="3" s="1"/>
  <c r="J70" i="7"/>
  <c r="BD57" i="3"/>
  <c r="BT57" i="3" s="1"/>
  <c r="BF82" i="3"/>
  <c r="BV82" i="3" s="1"/>
  <c r="F82" i="7"/>
  <c r="BE52" i="3"/>
  <c r="BU52" i="3" s="1"/>
  <c r="E52" i="7"/>
  <c r="BI147" i="3"/>
  <c r="BY147" i="3" s="1"/>
  <c r="BE136" i="3"/>
  <c r="BU136" i="3" s="1"/>
  <c r="E136" i="7"/>
  <c r="BI89" i="3"/>
  <c r="BY89" i="3" s="1"/>
  <c r="I89" i="7"/>
  <c r="BI88" i="3"/>
  <c r="BY88" i="3" s="1"/>
  <c r="I88" i="7"/>
  <c r="BI157" i="3"/>
  <c r="BY157" i="3" s="1"/>
  <c r="I157" i="7"/>
  <c r="BD148" i="3"/>
  <c r="BT148" i="3" s="1"/>
  <c r="D148" i="7"/>
  <c r="BI99" i="3"/>
  <c r="BY99" i="3" s="1"/>
  <c r="BD27" i="3"/>
  <c r="BT27" i="3" s="1"/>
  <c r="BE172" i="3"/>
  <c r="BU172" i="3" s="1"/>
  <c r="E172" i="7"/>
  <c r="BI176" i="3"/>
  <c r="BY176" i="3" s="1"/>
  <c r="I176" i="7"/>
  <c r="BI141" i="3"/>
  <c r="BY141" i="3" s="1"/>
  <c r="BF106" i="3"/>
  <c r="BV106" i="3" s="1"/>
  <c r="F106" i="7"/>
  <c r="BI87" i="3"/>
  <c r="BY87" i="3" s="1"/>
  <c r="BH75" i="3"/>
  <c r="BX75" i="3" s="1"/>
  <c r="BI139" i="3"/>
  <c r="BY139" i="3" s="1"/>
  <c r="I139" i="7"/>
  <c r="BI127" i="3"/>
  <c r="BY127" i="3" s="1"/>
  <c r="I127" i="7"/>
  <c r="BG76" i="3"/>
  <c r="BW76" i="3" s="1"/>
  <c r="G76" i="7"/>
  <c r="BD123" i="3"/>
  <c r="BT123" i="3" s="1"/>
  <c r="BG124" i="3"/>
  <c r="BW124" i="3" s="1"/>
  <c r="G124" i="7"/>
  <c r="BH105" i="3"/>
  <c r="BX105" i="3" s="1"/>
  <c r="BJ76" i="3"/>
  <c r="BZ76" i="3" s="1"/>
  <c r="J76" i="7"/>
  <c r="BD63" i="3"/>
  <c r="BT63" i="3" s="1"/>
  <c r="BH63" i="3"/>
  <c r="BX63" i="3" s="1"/>
  <c r="BG142" i="3"/>
  <c r="BW142" i="3" s="1"/>
  <c r="G142" i="7"/>
  <c r="BE142" i="3"/>
  <c r="BU142" i="3" s="1"/>
  <c r="E142" i="7"/>
  <c r="BG106" i="3"/>
  <c r="BW106" i="3" s="1"/>
  <c r="G106" i="7"/>
  <c r="BD87" i="3"/>
  <c r="BT87" i="3" s="1"/>
  <c r="BD76" i="3"/>
  <c r="BT76" i="3" s="1"/>
  <c r="D76" i="7"/>
  <c r="BI75" i="3"/>
  <c r="BY75" i="3" s="1"/>
  <c r="BI77" i="3"/>
  <c r="BY77" i="3" s="1"/>
  <c r="I77" i="7"/>
  <c r="BD75" i="3"/>
  <c r="BT75" i="3" s="1"/>
  <c r="BI70" i="3"/>
  <c r="BY70" i="3" s="1"/>
  <c r="I70" i="7"/>
  <c r="BI72" i="3"/>
  <c r="BY72" i="3" s="1"/>
  <c r="I72" i="7"/>
  <c r="BE57" i="3"/>
  <c r="BU57" i="3" s="1"/>
  <c r="BG82" i="3"/>
  <c r="BW82" i="3" s="1"/>
  <c r="G82" i="7"/>
  <c r="BE82" i="3"/>
  <c r="BU82" i="3" s="1"/>
  <c r="E82" i="7"/>
  <c r="BF34" i="3"/>
  <c r="BV34" i="3" s="1"/>
  <c r="F34" i="7"/>
  <c r="BE21" i="3"/>
  <c r="BU21" i="3" s="1"/>
  <c r="BI21" i="3"/>
  <c r="BY21" i="3" s="1"/>
  <c r="BG16" i="3"/>
  <c r="BW16" i="3" s="1"/>
  <c r="G16" i="7"/>
  <c r="BF52" i="3"/>
  <c r="BV52" i="3" s="1"/>
  <c r="F52" i="7"/>
  <c r="BJ46" i="3"/>
  <c r="BZ46" i="3" s="1"/>
  <c r="J46" i="7"/>
  <c r="BI146" i="3"/>
  <c r="BY146" i="3" s="1"/>
  <c r="I146" i="7"/>
  <c r="BH40" i="3"/>
  <c r="BX40" i="3" s="1"/>
  <c r="H40" i="7"/>
  <c r="BI38" i="3"/>
  <c r="BY38" i="3" s="1"/>
  <c r="I38" i="7"/>
  <c r="BG160" i="3"/>
  <c r="BW160" i="3" s="1"/>
  <c r="G160" i="7"/>
  <c r="BF136" i="3"/>
  <c r="BV136" i="3" s="1"/>
  <c r="F136" i="7"/>
  <c r="BD136" i="3"/>
  <c r="BT136" i="3" s="1"/>
  <c r="D136" i="7"/>
  <c r="BI115" i="3"/>
  <c r="BY115" i="3" s="1"/>
  <c r="I115" i="7"/>
  <c r="BI117" i="3"/>
  <c r="BY117" i="3" s="1"/>
  <c r="BD88" i="3"/>
  <c r="BT88" i="3" s="1"/>
  <c r="D88" i="7"/>
  <c r="BJ88" i="3"/>
  <c r="BZ88" i="3" s="1"/>
  <c r="J88" i="7"/>
  <c r="BJ58" i="3"/>
  <c r="BZ58" i="3" s="1"/>
  <c r="J58" i="7"/>
  <c r="BH58" i="3"/>
  <c r="BX58" i="3" s="1"/>
  <c r="H58" i="7"/>
  <c r="BI28" i="3"/>
  <c r="BY28" i="3" s="1"/>
  <c r="I28" i="7"/>
  <c r="BG28" i="3"/>
  <c r="BW28" i="3" s="1"/>
  <c r="G28" i="7"/>
  <c r="BI156" i="3"/>
  <c r="BY156" i="3" s="1"/>
  <c r="I156" i="7"/>
  <c r="BI148" i="3"/>
  <c r="BY148" i="3" s="1"/>
  <c r="I148" i="7"/>
  <c r="BG148" i="3"/>
  <c r="BW148" i="3" s="1"/>
  <c r="G148" i="7"/>
  <c r="BI128" i="3"/>
  <c r="BY128" i="3" s="1"/>
  <c r="I128" i="7"/>
  <c r="BF118" i="3"/>
  <c r="BV118" i="3" s="1"/>
  <c r="F118" i="7"/>
  <c r="BE99" i="3"/>
  <c r="BU99" i="3" s="1"/>
  <c r="BE27" i="3"/>
  <c r="BU27" i="3" s="1"/>
  <c r="BI170" i="3"/>
  <c r="BY170" i="3" s="1"/>
  <c r="I170" i="7"/>
  <c r="BD171" i="3"/>
  <c r="BT171" i="3" s="1"/>
  <c r="BI174" i="3"/>
  <c r="BY174" i="3" s="1"/>
  <c r="I174" i="7"/>
  <c r="BI172" i="3"/>
  <c r="BY172" i="3" s="1"/>
  <c r="I172" i="7"/>
  <c r="BH190" i="3"/>
  <c r="BX190" i="3" s="1"/>
  <c r="BJ184" i="3"/>
  <c r="BZ184" i="3" s="1"/>
  <c r="BF178" i="3"/>
  <c r="BV178" i="3" s="1"/>
  <c r="F178" i="7"/>
  <c r="BD111" i="3"/>
  <c r="BT111" i="3" s="1"/>
  <c r="BG64" i="3"/>
  <c r="BW64" i="3" s="1"/>
  <c r="G64" i="7"/>
  <c r="BI20" i="3"/>
  <c r="BY20" i="3" s="1"/>
  <c r="I20" i="7"/>
  <c r="BI155" i="3"/>
  <c r="BY155" i="3" s="1"/>
  <c r="I155" i="7"/>
  <c r="BD141" i="3"/>
  <c r="BT141" i="3" s="1"/>
  <c r="BI140" i="3"/>
  <c r="BY140" i="3" s="1"/>
  <c r="I140" i="7"/>
  <c r="BI142" i="3"/>
  <c r="BY142" i="3" s="1"/>
  <c r="I142" i="7"/>
  <c r="BF124" i="3"/>
  <c r="BV124" i="3" s="1"/>
  <c r="F124" i="7"/>
  <c r="BI125" i="3"/>
  <c r="BY125" i="3" s="1"/>
  <c r="I125" i="7"/>
  <c r="BJ106" i="3"/>
  <c r="BZ106" i="3" s="1"/>
  <c r="J106" i="7"/>
  <c r="BE106" i="3"/>
  <c r="BU106" i="3" s="1"/>
  <c r="E106" i="7"/>
  <c r="BI86" i="3"/>
  <c r="BY86" i="3" s="1"/>
  <c r="I86" i="7"/>
  <c r="BH76" i="3"/>
  <c r="BX76" i="3" s="1"/>
  <c r="H76" i="7"/>
  <c r="BE70" i="3"/>
  <c r="BU70" i="3" s="1"/>
  <c r="E70" i="7"/>
  <c r="BH69" i="3"/>
  <c r="BX69" i="3" s="1"/>
  <c r="BF64" i="3"/>
  <c r="BV64" i="3" s="1"/>
  <c r="F64" i="7"/>
  <c r="BI55" i="3"/>
  <c r="BY55" i="3" s="1"/>
  <c r="I55" i="7"/>
  <c r="BJ82" i="3"/>
  <c r="BZ82" i="3" s="1"/>
  <c r="J82" i="7"/>
  <c r="BD81" i="3"/>
  <c r="BT81" i="3" s="1"/>
  <c r="BI80" i="3"/>
  <c r="BY80" i="3" s="1"/>
  <c r="I80" i="7"/>
  <c r="BI36" i="3"/>
  <c r="BY36" i="3" s="1"/>
  <c r="I36" i="7"/>
  <c r="BE33" i="3"/>
  <c r="BU33" i="3" s="1"/>
  <c r="BI19" i="3"/>
  <c r="BY19" i="3" s="1"/>
  <c r="I19" i="7"/>
  <c r="BH22" i="3"/>
  <c r="BX22" i="3" s="1"/>
  <c r="H22" i="7"/>
  <c r="BF15" i="3"/>
  <c r="BV15" i="3" s="1"/>
  <c r="BE16" i="3"/>
  <c r="BU16" i="3" s="1"/>
  <c r="E16" i="7"/>
  <c r="BI16" i="3"/>
  <c r="BY16" i="3" s="1"/>
  <c r="I16" i="7"/>
  <c r="BE51" i="3"/>
  <c r="BU51" i="3" s="1"/>
  <c r="BF46" i="3"/>
  <c r="BV46" i="3" s="1"/>
  <c r="F46" i="7"/>
  <c r="BD46" i="3"/>
  <c r="BT46" i="3" s="1"/>
  <c r="D46" i="7"/>
  <c r="BI45" i="3"/>
  <c r="BY45" i="3" s="1"/>
  <c r="BI47" i="3"/>
  <c r="BY47" i="3" s="1"/>
  <c r="I47" i="7"/>
  <c r="BI144" i="3"/>
  <c r="BY144" i="3" s="1"/>
  <c r="I144" i="7"/>
  <c r="BH147" i="3"/>
  <c r="BX147" i="3" s="1"/>
  <c r="BI136" i="3"/>
  <c r="BY136" i="3" s="1"/>
  <c r="I136" i="7"/>
  <c r="BE135" i="3"/>
  <c r="BU135" i="3" s="1"/>
  <c r="BG88" i="3"/>
  <c r="BW88" i="3" s="1"/>
  <c r="G88" i="7"/>
  <c r="BF58" i="3"/>
  <c r="BV58" i="3" s="1"/>
  <c r="F58" i="7"/>
  <c r="BI154" i="3"/>
  <c r="BY154" i="3" s="1"/>
  <c r="I154" i="7"/>
  <c r="BI120" i="3"/>
  <c r="BY120" i="3" s="1"/>
  <c r="I120" i="7"/>
  <c r="BI122" i="3"/>
  <c r="BY122" i="3" s="1"/>
  <c r="I122" i="7"/>
  <c r="BF100" i="3"/>
  <c r="BV100" i="3" s="1"/>
  <c r="F100" i="7"/>
  <c r="BI96" i="3"/>
  <c r="BY96" i="3" s="1"/>
  <c r="I96" i="7"/>
  <c r="BI166" i="3"/>
  <c r="BY166" i="3" s="1"/>
  <c r="I166" i="7"/>
  <c r="BF172" i="3"/>
  <c r="BV172" i="3" s="1"/>
  <c r="F172" i="7"/>
  <c r="BI193" i="3"/>
  <c r="BY193" i="3" s="1"/>
  <c r="BI109" i="3"/>
  <c r="BY109" i="3" s="1"/>
  <c r="I109" i="7"/>
  <c r="BI183" i="3"/>
  <c r="BY183" i="3" s="1"/>
  <c r="I183" i="7" s="1"/>
  <c r="BI186" i="3"/>
  <c r="BY186" i="3" s="1"/>
  <c r="BE184" i="3"/>
  <c r="BU184" i="3" s="1"/>
  <c r="BE177" i="3"/>
  <c r="BU177" i="3" s="1"/>
  <c r="E177" i="7" s="1"/>
  <c r="BI178" i="3"/>
  <c r="BY178" i="3" s="1"/>
  <c r="I178" i="7"/>
  <c r="BI180" i="3"/>
  <c r="BY180" i="3" s="1"/>
  <c r="I180" i="7"/>
  <c r="BD112" i="3"/>
  <c r="BT112" i="3" s="1"/>
  <c r="D112" i="7"/>
  <c r="BG112" i="3"/>
  <c r="BW112" i="3" s="1"/>
  <c r="G112" i="7"/>
  <c r="BJ142" i="3"/>
  <c r="BZ142" i="3" s="1"/>
  <c r="J142" i="7"/>
  <c r="BI71" i="3"/>
  <c r="BY71" i="3" s="1"/>
  <c r="I71" i="7"/>
  <c r="BJ136" i="3"/>
  <c r="BZ136" i="3" s="1"/>
  <c r="J136" i="7"/>
  <c r="BG58" i="3"/>
  <c r="BW58" i="3" s="1"/>
  <c r="G58" i="7"/>
  <c r="BH141" i="3"/>
  <c r="BX141" i="3" s="1"/>
  <c r="BE123" i="3"/>
  <c r="BU123" i="3" s="1"/>
  <c r="BJ124" i="3"/>
  <c r="BZ124" i="3" s="1"/>
  <c r="J124" i="7"/>
  <c r="BH124" i="3"/>
  <c r="BX124" i="3" s="1"/>
  <c r="H124" i="7"/>
  <c r="BD106" i="3"/>
  <c r="BT106" i="3" s="1"/>
  <c r="D106" i="7"/>
  <c r="BI105" i="3"/>
  <c r="BY105" i="3" s="1"/>
  <c r="BI107" i="3"/>
  <c r="BY107" i="3" s="1"/>
  <c r="I107" i="7"/>
  <c r="BD105" i="3"/>
  <c r="BT105" i="3" s="1"/>
  <c r="BI84" i="3"/>
  <c r="BY84" i="3" s="1"/>
  <c r="I84" i="7"/>
  <c r="BH87" i="3"/>
  <c r="BX87" i="3" s="1"/>
  <c r="BI73" i="3"/>
  <c r="BY73" i="3" s="1"/>
  <c r="I73" i="7"/>
  <c r="BD69" i="3"/>
  <c r="BT69" i="3" s="1"/>
  <c r="BI68" i="3"/>
  <c r="BY68" i="3" s="1"/>
  <c r="I68" i="7"/>
  <c r="BG70" i="3"/>
  <c r="BW70" i="3" s="1"/>
  <c r="G70" i="7"/>
  <c r="BI66" i="3"/>
  <c r="BY66" i="3" s="1"/>
  <c r="I66" i="7"/>
  <c r="BE63" i="3"/>
  <c r="BU63" i="3" s="1"/>
  <c r="BJ64" i="3"/>
  <c r="BZ64" i="3" s="1"/>
  <c r="J64" i="7"/>
  <c r="BI81" i="3"/>
  <c r="BY81" i="3" s="1"/>
  <c r="BI34" i="3"/>
  <c r="BY34" i="3" s="1"/>
  <c r="I34" i="7"/>
  <c r="BD34" i="3"/>
  <c r="BT34" i="3" s="1"/>
  <c r="D34" i="7"/>
  <c r="BG21" i="3"/>
  <c r="BW21" i="3" s="1"/>
  <c r="BI17" i="3"/>
  <c r="BY17" i="3" s="1"/>
  <c r="I17" i="7"/>
  <c r="BH15" i="3"/>
  <c r="BX15" i="3" s="1"/>
  <c r="BI50" i="3"/>
  <c r="BY50" i="3" s="1"/>
  <c r="I50" i="7"/>
  <c r="BI52" i="3"/>
  <c r="BY52" i="3" s="1"/>
  <c r="I52" i="7"/>
  <c r="BE45" i="3"/>
  <c r="BU45" i="3" s="1"/>
  <c r="E45" i="7" s="1"/>
  <c r="BH46" i="3"/>
  <c r="BX46" i="3" s="1"/>
  <c r="H46" i="7"/>
  <c r="BF40" i="3"/>
  <c r="BV40" i="3" s="1"/>
  <c r="F40" i="7"/>
  <c r="BJ40" i="3"/>
  <c r="BZ40" i="3" s="1"/>
  <c r="J40" i="7"/>
  <c r="BJ160" i="3"/>
  <c r="BZ160" i="3" s="1"/>
  <c r="J160" i="7"/>
  <c r="BI161" i="3"/>
  <c r="BY161" i="3" s="1"/>
  <c r="I161" i="7"/>
  <c r="BE160" i="3"/>
  <c r="BU160" i="3" s="1"/>
  <c r="E160" i="7"/>
  <c r="BI113" i="3"/>
  <c r="BY113" i="3" s="1"/>
  <c r="I113" i="7"/>
  <c r="BI60" i="3"/>
  <c r="BY60" i="3" s="1"/>
  <c r="I60" i="7"/>
  <c r="BI62" i="3"/>
  <c r="BY62" i="3" s="1"/>
  <c r="I62" i="7"/>
  <c r="BI31" i="3"/>
  <c r="BY31" i="3" s="1"/>
  <c r="I31" i="7"/>
  <c r="BE28" i="3"/>
  <c r="BU28" i="3" s="1"/>
  <c r="E28" i="7"/>
  <c r="BG154" i="3"/>
  <c r="BW154" i="3" s="1"/>
  <c r="G154" i="7"/>
  <c r="BF148" i="3"/>
  <c r="BV148" i="3" s="1"/>
  <c r="F148" i="7"/>
  <c r="BD118" i="3"/>
  <c r="BT118" i="3" s="1"/>
  <c r="D118" i="7"/>
  <c r="BJ118" i="3"/>
  <c r="BZ118" i="3" s="1"/>
  <c r="J118" i="7"/>
  <c r="BI101" i="3"/>
  <c r="BY101" i="3" s="1"/>
  <c r="I101" i="7"/>
  <c r="BI97" i="3"/>
  <c r="BY97" i="3" s="1"/>
  <c r="I97" i="7"/>
  <c r="BE94" i="3"/>
  <c r="BU94" i="3" s="1"/>
  <c r="E94" i="7"/>
  <c r="BI94" i="3"/>
  <c r="BY94" i="3" s="1"/>
  <c r="I94" i="7"/>
  <c r="BI26" i="3"/>
  <c r="BY26" i="3" s="1"/>
  <c r="I26" i="7"/>
  <c r="BI169" i="3"/>
  <c r="BY169" i="3" s="1"/>
  <c r="I169" i="7"/>
  <c r="BG172" i="3"/>
  <c r="BW172" i="3" s="1"/>
  <c r="G172" i="7"/>
  <c r="BJ172" i="3"/>
  <c r="BZ172" i="3" s="1"/>
  <c r="J172" i="7"/>
  <c r="BI194" i="3"/>
  <c r="BY194" i="3" s="1"/>
  <c r="BF184" i="3"/>
  <c r="BV184" i="3" s="1"/>
  <c r="BD183" i="3"/>
  <c r="BT183" i="3" s="1"/>
  <c r="BF10" i="3"/>
  <c r="BV10" i="3" s="1"/>
  <c r="BI10" i="3"/>
  <c r="BY10" i="3" s="1"/>
  <c r="I10" i="7" s="1"/>
  <c r="BE10" i="3"/>
  <c r="BU10" i="3" s="1"/>
  <c r="BH10" i="3"/>
  <c r="BX10" i="3" s="1"/>
  <c r="BE127" i="3"/>
  <c r="BU127" i="3" s="1"/>
  <c r="BF87" i="3"/>
  <c r="BV87" i="3" s="1"/>
  <c r="BF71" i="3"/>
  <c r="BV71" i="3" s="1"/>
  <c r="BD12" i="3"/>
  <c r="BT12" i="3" s="1"/>
  <c r="BI6" i="3"/>
  <c r="BY6" i="3" s="1"/>
  <c r="BF36" i="3"/>
  <c r="BV36" i="3" s="1"/>
  <c r="BD17" i="3"/>
  <c r="BT17" i="3" s="1"/>
  <c r="BE47" i="3"/>
  <c r="BU47" i="3" s="1"/>
  <c r="BG162" i="3"/>
  <c r="BW162" i="3" s="1"/>
  <c r="BE156" i="3"/>
  <c r="BU156" i="3" s="1"/>
  <c r="BD138" i="3"/>
  <c r="BT138" i="3" s="1"/>
  <c r="BJ138" i="3"/>
  <c r="BZ138" i="3" s="1"/>
  <c r="BH138" i="3"/>
  <c r="BX138" i="3" s="1"/>
  <c r="BG139" i="3"/>
  <c r="BW139" i="3" s="1"/>
  <c r="BH126" i="3"/>
  <c r="BX126" i="3" s="1"/>
  <c r="BJ123" i="3"/>
  <c r="BZ123" i="3" s="1"/>
  <c r="BH107" i="3"/>
  <c r="BX107" i="3" s="1"/>
  <c r="BD104" i="3"/>
  <c r="BT104" i="3" s="1"/>
  <c r="BD84" i="3"/>
  <c r="BT84" i="3" s="1"/>
  <c r="BG83" i="3"/>
  <c r="BW83" i="3" s="1"/>
  <c r="BG85" i="3"/>
  <c r="BW85" i="3" s="1"/>
  <c r="BE77" i="3"/>
  <c r="BU77" i="3" s="1"/>
  <c r="BF73" i="3"/>
  <c r="BV73" i="3" s="1"/>
  <c r="BF75" i="3"/>
  <c r="BV75" i="3" s="1"/>
  <c r="BG72" i="3"/>
  <c r="BW72" i="3" s="1"/>
  <c r="BE72" i="3"/>
  <c r="BU72" i="3" s="1"/>
  <c r="BJ71" i="3"/>
  <c r="BZ71" i="3" s="1"/>
  <c r="BF68" i="3"/>
  <c r="BV68" i="3" s="1"/>
  <c r="BH66" i="3"/>
  <c r="BX66" i="3" s="1"/>
  <c r="BJ63" i="3"/>
  <c r="BZ63" i="3" s="1"/>
  <c r="BG8" i="3"/>
  <c r="BW8" i="3" s="1"/>
  <c r="BG10" i="3"/>
  <c r="BW10" i="3" s="1"/>
  <c r="BG12" i="3"/>
  <c r="BW12" i="3" s="1"/>
  <c r="BE12" i="3"/>
  <c r="BU12" i="3" s="1"/>
  <c r="BF7" i="3"/>
  <c r="BV7" i="3" s="1"/>
  <c r="BD7" i="3"/>
  <c r="BT7" i="3" s="1"/>
  <c r="BJ7" i="3"/>
  <c r="BZ7" i="3" s="1"/>
  <c r="BF4" i="3"/>
  <c r="BV4" i="3" s="1"/>
  <c r="BH56" i="3"/>
  <c r="BX56" i="3" s="1"/>
  <c r="BD53" i="3"/>
  <c r="BT53" i="3" s="1"/>
  <c r="BJ53" i="3"/>
  <c r="BZ53" i="3" s="1"/>
  <c r="BH53" i="3"/>
  <c r="BX53" i="3" s="1"/>
  <c r="BG54" i="3"/>
  <c r="BW54" i="3" s="1"/>
  <c r="BH81" i="3"/>
  <c r="BX81" i="3" s="1"/>
  <c r="BD78" i="3"/>
  <c r="BT78" i="3" s="1"/>
  <c r="BJ78" i="3"/>
  <c r="BZ78" i="3" s="1"/>
  <c r="BH78" i="3"/>
  <c r="BX78" i="3" s="1"/>
  <c r="BG33" i="3"/>
  <c r="BW33" i="3" s="1"/>
  <c r="BG35" i="3"/>
  <c r="BW35" i="3" s="1"/>
  <c r="BG37" i="3"/>
  <c r="BW37" i="3" s="1"/>
  <c r="BF19" i="3"/>
  <c r="BV19" i="3" s="1"/>
  <c r="BF21" i="3"/>
  <c r="BV21" i="3" s="1"/>
  <c r="BH17" i="3"/>
  <c r="BX17" i="3" s="1"/>
  <c r="BD14" i="3"/>
  <c r="BT14" i="3" s="1"/>
  <c r="BI13" i="3"/>
  <c r="BY13" i="3" s="1"/>
  <c r="BG13" i="3"/>
  <c r="BW13" i="3" s="1"/>
  <c r="BH50" i="3"/>
  <c r="BX50" i="3" s="1"/>
  <c r="BD49" i="3"/>
  <c r="BT49" i="3" s="1"/>
  <c r="BJ43" i="3"/>
  <c r="BZ43" i="3" s="1"/>
  <c r="BH43" i="3"/>
  <c r="BX43" i="3" s="1"/>
  <c r="BG44" i="3"/>
  <c r="BW44" i="3" s="1"/>
  <c r="BD147" i="3"/>
  <c r="BJ147" i="3"/>
  <c r="BZ147" i="3" s="1"/>
  <c r="BF144" i="3"/>
  <c r="BV144" i="3" s="1"/>
  <c r="BF146" i="3"/>
  <c r="BV146" i="3" s="1"/>
  <c r="BE38" i="3"/>
  <c r="BU38" i="3" s="1"/>
  <c r="BJ39" i="3"/>
  <c r="BZ39" i="3" s="1"/>
  <c r="BH39" i="3"/>
  <c r="BX39" i="3" s="1"/>
  <c r="BH159" i="3"/>
  <c r="BX159" i="3" s="1"/>
  <c r="BH161" i="3"/>
  <c r="BX161" i="3" s="1"/>
  <c r="BD158" i="3"/>
  <c r="BT158" i="3" s="1"/>
  <c r="BJ158" i="3"/>
  <c r="BZ158" i="3" s="1"/>
  <c r="BG135" i="3"/>
  <c r="BW135" i="3" s="1"/>
  <c r="BG137" i="3"/>
  <c r="BW137" i="3" s="1"/>
  <c r="BE137" i="3"/>
  <c r="BU137" i="3" s="1"/>
  <c r="BG117" i="3"/>
  <c r="BW117" i="3" s="1"/>
  <c r="BE117" i="3"/>
  <c r="BU117" i="3" s="1"/>
  <c r="BJ116" i="3"/>
  <c r="BZ116" i="3" s="1"/>
  <c r="BF113" i="3"/>
  <c r="BV113" i="3" s="1"/>
  <c r="BF115" i="3"/>
  <c r="BV115" i="3" s="1"/>
  <c r="BE89" i="3"/>
  <c r="BU89" i="3" s="1"/>
  <c r="BD90" i="3"/>
  <c r="BT90" i="3" s="1"/>
  <c r="BD60" i="3"/>
  <c r="BT60" i="3" s="1"/>
  <c r="BH60" i="3"/>
  <c r="BX60" i="3" s="1"/>
  <c r="BH62" i="3"/>
  <c r="BX62" i="3" s="1"/>
  <c r="BD59" i="3"/>
  <c r="BT59" i="3" s="1"/>
  <c r="BE30" i="3"/>
  <c r="BU30" i="3" s="1"/>
  <c r="BJ29" i="3"/>
  <c r="BZ29" i="3" s="1"/>
  <c r="BH29" i="3"/>
  <c r="BX29" i="3" s="1"/>
  <c r="BH31" i="3"/>
  <c r="BX31" i="3" s="1"/>
  <c r="BF157" i="3"/>
  <c r="BV157" i="3" s="1"/>
  <c r="BD157" i="3"/>
  <c r="BT157" i="3" s="1"/>
  <c r="BJ157" i="3"/>
  <c r="BZ157" i="3" s="1"/>
  <c r="BE150" i="3"/>
  <c r="BU150" i="3" s="1"/>
  <c r="BJ149" i="3"/>
  <c r="BZ149" i="3" s="1"/>
  <c r="BH149" i="3"/>
  <c r="BX149" i="3" s="1"/>
  <c r="BD128" i="3"/>
  <c r="BT128" i="3" s="1"/>
  <c r="BG119" i="3"/>
  <c r="BW119" i="3" s="1"/>
  <c r="BG121" i="3"/>
  <c r="BW121" i="3" s="1"/>
  <c r="BF122" i="3"/>
  <c r="BV122" i="3" s="1"/>
  <c r="BH102" i="3"/>
  <c r="BX102" i="3" s="1"/>
  <c r="BF98" i="3"/>
  <c r="BV98" i="3" s="1"/>
  <c r="BH97" i="3"/>
  <c r="BX97" i="3" s="1"/>
  <c r="BG93" i="3"/>
  <c r="BW93" i="3" s="1"/>
  <c r="BH24" i="3"/>
  <c r="BX24" i="3" s="1"/>
  <c r="BH26" i="3"/>
  <c r="BX26" i="3" s="1"/>
  <c r="BD23" i="3"/>
  <c r="BT23" i="3" s="1"/>
  <c r="BJ23" i="3"/>
  <c r="BZ23" i="3" s="1"/>
  <c r="BH23" i="3"/>
  <c r="BX23" i="3" s="1"/>
  <c r="BD169" i="3"/>
  <c r="BT169" i="3" s="1"/>
  <c r="BG165" i="3"/>
  <c r="BW165" i="3" s="1"/>
  <c r="BH167" i="3"/>
  <c r="BX167" i="3" s="1"/>
  <c r="BH170" i="3"/>
  <c r="BX170" i="3" s="1"/>
  <c r="BE168" i="3"/>
  <c r="BU168" i="3" s="1"/>
  <c r="BE164" i="3"/>
  <c r="BU164" i="3" s="1"/>
  <c r="BH163" i="3"/>
  <c r="BX163" i="3" s="1"/>
  <c r="BJ175" i="3"/>
  <c r="BZ175" i="3" s="1"/>
  <c r="BH174" i="3"/>
  <c r="BX174" i="3" s="1"/>
  <c r="BF176" i="3"/>
  <c r="BV176" i="3" s="1"/>
  <c r="BJ173" i="3"/>
  <c r="BZ173" i="3" s="1"/>
  <c r="BF194" i="3"/>
  <c r="BV194" i="3" s="1"/>
  <c r="BI191" i="3"/>
  <c r="BY191" i="3" s="1"/>
  <c r="BE189" i="3"/>
  <c r="BU189" i="3" s="1"/>
  <c r="BD189" i="3"/>
  <c r="BT189" i="3" s="1"/>
  <c r="BG194" i="3"/>
  <c r="BW194" i="3" s="1"/>
  <c r="BH109" i="3"/>
  <c r="BX109" i="3" s="1"/>
  <c r="BE110" i="3"/>
  <c r="BU110" i="3" s="1"/>
  <c r="BG188" i="3"/>
  <c r="BW188" i="3" s="1"/>
  <c r="BD186" i="3"/>
  <c r="BT186" i="3" s="1"/>
  <c r="BG183" i="3"/>
  <c r="BW183" i="3" s="1"/>
  <c r="BI187" i="3"/>
  <c r="BY187" i="3" s="1"/>
  <c r="BG186" i="3"/>
  <c r="BW186" i="3" s="1"/>
  <c r="BG179" i="3"/>
  <c r="BW179" i="3" s="1"/>
  <c r="BJ177" i="3"/>
  <c r="BZ177" i="3" s="1"/>
  <c r="BD181" i="3"/>
  <c r="BT181" i="3" s="1"/>
  <c r="BG177" i="3"/>
  <c r="BW177" i="3" s="1"/>
  <c r="BJ126" i="3"/>
  <c r="BZ126" i="3" s="1"/>
  <c r="BG67" i="3"/>
  <c r="BW67" i="3" s="1"/>
  <c r="BJ5" i="3"/>
  <c r="BZ5" i="3" s="1"/>
  <c r="BF53" i="3"/>
  <c r="BV53" i="3" s="1"/>
  <c r="BJ17" i="3"/>
  <c r="BZ17" i="3" s="1"/>
  <c r="BH42" i="3"/>
  <c r="BX42" i="3" s="1"/>
  <c r="BE162" i="3"/>
  <c r="BU162" i="3" s="1"/>
  <c r="BE114" i="3"/>
  <c r="BU114" i="3" s="1"/>
  <c r="BG59" i="3"/>
  <c r="BW59" i="3" s="1"/>
  <c r="BJ155" i="3"/>
  <c r="BZ155" i="3" s="1"/>
  <c r="BE121" i="3"/>
  <c r="BU121" i="3" s="1"/>
  <c r="BG96" i="3"/>
  <c r="BW96" i="3" s="1"/>
  <c r="BD167" i="3"/>
  <c r="BT167" i="3" s="1"/>
  <c r="BJ110" i="3"/>
  <c r="BZ110" i="3" s="1"/>
  <c r="BF185" i="3"/>
  <c r="BV185" i="3" s="1"/>
  <c r="BD177" i="3"/>
  <c r="BT177" i="3" s="1"/>
  <c r="BJ179" i="3"/>
  <c r="BZ179" i="3" s="1"/>
  <c r="BG111" i="3"/>
  <c r="BW111" i="3" s="1"/>
  <c r="BF141" i="3"/>
  <c r="BV141" i="3" s="1"/>
  <c r="BF126" i="3"/>
  <c r="BV126" i="3" s="1"/>
  <c r="BD126" i="3"/>
  <c r="BT126" i="3" s="1"/>
  <c r="BE107" i="3"/>
  <c r="BU107" i="3" s="1"/>
  <c r="BF103" i="3"/>
  <c r="BV103" i="3" s="1"/>
  <c r="BF105" i="3"/>
  <c r="BV105" i="3" s="1"/>
  <c r="BE86" i="3"/>
  <c r="BU86" i="3" s="1"/>
  <c r="BJ85" i="3"/>
  <c r="BZ85" i="3" s="1"/>
  <c r="BE83" i="3"/>
  <c r="BU83" i="3" s="1"/>
  <c r="BJ74" i="3"/>
  <c r="BZ74" i="3" s="1"/>
  <c r="BH74" i="3"/>
  <c r="BX74" i="3" s="1"/>
  <c r="BD73" i="3"/>
  <c r="BT73" i="3" s="1"/>
  <c r="BJ73" i="3"/>
  <c r="BZ73" i="3" s="1"/>
  <c r="BJ69" i="3"/>
  <c r="BZ69" i="3" s="1"/>
  <c r="BH71" i="3"/>
  <c r="BX71" i="3" s="1"/>
  <c r="BJ67" i="3"/>
  <c r="BZ67" i="3" s="1"/>
  <c r="BF66" i="3"/>
  <c r="BV66" i="3" s="1"/>
  <c r="BD66" i="3"/>
  <c r="BT66" i="3" s="1"/>
  <c r="BJ10" i="3"/>
  <c r="BZ10" i="3" s="1"/>
  <c r="BI11" i="3"/>
  <c r="BY11" i="3" s="1"/>
  <c r="BE8" i="3"/>
  <c r="BU8" i="3" s="1"/>
  <c r="BJ9" i="3"/>
  <c r="BZ9" i="3" s="1"/>
  <c r="BD5" i="3"/>
  <c r="BT5" i="3" s="1"/>
  <c r="BI4" i="3"/>
  <c r="BY4" i="3" s="1"/>
  <c r="BH5" i="3"/>
  <c r="BX5" i="3" s="1"/>
  <c r="BH7" i="3"/>
  <c r="BX7" i="3" s="1"/>
  <c r="BF54" i="3"/>
  <c r="BV54" i="3" s="1"/>
  <c r="BF56" i="3"/>
  <c r="BV56" i="3" s="1"/>
  <c r="BD56" i="3"/>
  <c r="BT56" i="3" s="1"/>
  <c r="BF79" i="3"/>
  <c r="BV79" i="3" s="1"/>
  <c r="BF81" i="3"/>
  <c r="BV81" i="3" s="1"/>
  <c r="BJ35" i="3"/>
  <c r="BZ35" i="3" s="1"/>
  <c r="BE35" i="3"/>
  <c r="BU35" i="3" s="1"/>
  <c r="BD20" i="3"/>
  <c r="BT20" i="3" s="1"/>
  <c r="BH20" i="3"/>
  <c r="BX20" i="3" s="1"/>
  <c r="BD19" i="3"/>
  <c r="BT19" i="3" s="1"/>
  <c r="BJ15" i="3"/>
  <c r="BZ15" i="3" s="1"/>
  <c r="BJ51" i="3"/>
  <c r="BZ51" i="3" s="1"/>
  <c r="BF48" i="3"/>
  <c r="BV48" i="3" s="1"/>
  <c r="BF50" i="3"/>
  <c r="BV50" i="3" s="1"/>
  <c r="BE44" i="3"/>
  <c r="BU44" i="3" s="1"/>
  <c r="BH145" i="3"/>
  <c r="BX145" i="3" s="1"/>
  <c r="BD144" i="3"/>
  <c r="BT144" i="3" s="1"/>
  <c r="BG39" i="3"/>
  <c r="BW39" i="3" s="1"/>
  <c r="BG41" i="3"/>
  <c r="BW41" i="3" s="1"/>
  <c r="BF42" i="3"/>
  <c r="BV42" i="3" s="1"/>
  <c r="BD42" i="3"/>
  <c r="BT42" i="3" s="1"/>
  <c r="BD162" i="3"/>
  <c r="BT162" i="3" s="1"/>
  <c r="BJ162" i="3"/>
  <c r="BZ162" i="3" s="1"/>
  <c r="BF159" i="3"/>
  <c r="BV159" i="3" s="1"/>
  <c r="BF161" i="3"/>
  <c r="BV161" i="3" s="1"/>
  <c r="BD161" i="3"/>
  <c r="BT161" i="3" s="1"/>
  <c r="BE115" i="3"/>
  <c r="BU115" i="3" s="1"/>
  <c r="BJ114" i="3"/>
  <c r="BZ114" i="3" s="1"/>
  <c r="BH114" i="3"/>
  <c r="BX114" i="3" s="1"/>
  <c r="BH116" i="3"/>
  <c r="BX116" i="3" s="1"/>
  <c r="BD113" i="3"/>
  <c r="BT113" i="3" s="1"/>
  <c r="BG90" i="3"/>
  <c r="BW90" i="3" s="1"/>
  <c r="BG92" i="3"/>
  <c r="BW92" i="3" s="1"/>
  <c r="BE92" i="3"/>
  <c r="BU92" i="3" s="1"/>
  <c r="BE62" i="3"/>
  <c r="BU62" i="3" s="1"/>
  <c r="BJ61" i="3"/>
  <c r="BZ61" i="3" s="1"/>
  <c r="BF60" i="3"/>
  <c r="BV60" i="3" s="1"/>
  <c r="BG31" i="3"/>
  <c r="BW31" i="3" s="1"/>
  <c r="BF32" i="3"/>
  <c r="BV32" i="3" s="1"/>
  <c r="BD32" i="3"/>
  <c r="BT32" i="3" s="1"/>
  <c r="BJ32" i="3"/>
  <c r="BZ32" i="3" s="1"/>
  <c r="BF29" i="3"/>
  <c r="BV29" i="3" s="1"/>
  <c r="BD155" i="3"/>
  <c r="BT155" i="3" s="1"/>
  <c r="BH155" i="3"/>
  <c r="BX155" i="3" s="1"/>
  <c r="BH157" i="3"/>
  <c r="BX157" i="3" s="1"/>
  <c r="BG149" i="3"/>
  <c r="BW149" i="3" s="1"/>
  <c r="BG151" i="3"/>
  <c r="BW151" i="3" s="1"/>
  <c r="BF152" i="3"/>
  <c r="BV152" i="3" s="1"/>
  <c r="BD152" i="3"/>
  <c r="BT152" i="3" s="1"/>
  <c r="BE119" i="3"/>
  <c r="BU119" i="3" s="1"/>
  <c r="BD120" i="3"/>
  <c r="BT120" i="3" s="1"/>
  <c r="BD101" i="3"/>
  <c r="BT101" i="3" s="1"/>
  <c r="BJ102" i="3"/>
  <c r="BZ102" i="3" s="1"/>
  <c r="BJ98" i="3"/>
  <c r="BZ98" i="3" s="1"/>
  <c r="BE98" i="3"/>
  <c r="BU98" i="3" s="1"/>
  <c r="BF95" i="3"/>
  <c r="BV95" i="3" s="1"/>
  <c r="BE96" i="3"/>
  <c r="BU96" i="3" s="1"/>
  <c r="BJ95" i="3"/>
  <c r="BZ95" i="3" s="1"/>
  <c r="BJ27" i="3"/>
  <c r="BZ27" i="3" s="1"/>
  <c r="BF24" i="3"/>
  <c r="BV24" i="3" s="1"/>
  <c r="BF26" i="3"/>
  <c r="BV26" i="3" s="1"/>
  <c r="BD26" i="3"/>
  <c r="BT26" i="3" s="1"/>
  <c r="BE169" i="3"/>
  <c r="BU169" i="3" s="1"/>
  <c r="BJ170" i="3"/>
  <c r="BZ170" i="3" s="1"/>
  <c r="BH169" i="3"/>
  <c r="BX169" i="3" s="1"/>
  <c r="BF168" i="3"/>
  <c r="BV168" i="3" s="1"/>
  <c r="BJ165" i="3"/>
  <c r="BZ165" i="3" s="1"/>
  <c r="BE163" i="3"/>
  <c r="BU163" i="3" s="1"/>
  <c r="BD176" i="3"/>
  <c r="BT176" i="3" s="1"/>
  <c r="BH173" i="3"/>
  <c r="BX173" i="3" s="1"/>
  <c r="BG176" i="3"/>
  <c r="BW176" i="3" s="1"/>
  <c r="BD174" i="3"/>
  <c r="BT174" i="3" s="1"/>
  <c r="BH171" i="3"/>
  <c r="BX171" i="3" s="1"/>
  <c r="BD193" i="3"/>
  <c r="BT193" i="3" s="1"/>
  <c r="BG189" i="3"/>
  <c r="BW189" i="3" s="1"/>
  <c r="BH194" i="3"/>
  <c r="BX194" i="3" s="1"/>
  <c r="BE192" i="3"/>
  <c r="BU192" i="3" s="1"/>
  <c r="BG110" i="3"/>
  <c r="BW110" i="3" s="1"/>
  <c r="BD187" i="3"/>
  <c r="BT187" i="3" s="1"/>
  <c r="BE186" i="3"/>
  <c r="BU186" i="3" s="1"/>
  <c r="BG185" i="3"/>
  <c r="BW185" i="3" s="1"/>
  <c r="BE180" i="3"/>
  <c r="BU180" i="3" s="1"/>
  <c r="BE181" i="3"/>
  <c r="BU181" i="3" s="1"/>
  <c r="BF123" i="3"/>
  <c r="BV123" i="3" s="1"/>
  <c r="BF84" i="3"/>
  <c r="BV84" i="3" s="1"/>
  <c r="BD71" i="3"/>
  <c r="BT71" i="3" s="1"/>
  <c r="BJ12" i="3"/>
  <c r="BZ12" i="3" s="1"/>
  <c r="BH48" i="3"/>
  <c r="BX48" i="3" s="1"/>
  <c r="BF45" i="3"/>
  <c r="BV45" i="3" s="1"/>
  <c r="BD39" i="3"/>
  <c r="BT39" i="3" s="1"/>
  <c r="BH89" i="3"/>
  <c r="BX89" i="3" s="1"/>
  <c r="BH32" i="3"/>
  <c r="BX32" i="3" s="1"/>
  <c r="BG101" i="3"/>
  <c r="BW101" i="3" s="1"/>
  <c r="BD97" i="3"/>
  <c r="BT97" i="3" s="1"/>
  <c r="BF170" i="3"/>
  <c r="BV170" i="3" s="1"/>
  <c r="BF164" i="3"/>
  <c r="BV164" i="3" s="1"/>
  <c r="BE194" i="3"/>
  <c r="BU194" i="3" s="1"/>
  <c r="BG108" i="3"/>
  <c r="BW108" i="3" s="1"/>
  <c r="BF182" i="3"/>
  <c r="BV182" i="3" s="1"/>
  <c r="BJ181" i="3"/>
  <c r="BZ181" i="3" s="1"/>
  <c r="BE140" i="3"/>
  <c r="BU140" i="3" s="1"/>
  <c r="BJ139" i="3"/>
  <c r="BZ139" i="3" s="1"/>
  <c r="BH139" i="3"/>
  <c r="BX139" i="3" s="1"/>
  <c r="BE125" i="3"/>
  <c r="BU125" i="3" s="1"/>
  <c r="BE104" i="3"/>
  <c r="BU104" i="3" s="1"/>
  <c r="BD85" i="3"/>
  <c r="BT85" i="3" s="1"/>
  <c r="BH85" i="3"/>
  <c r="BX85" i="3" s="1"/>
  <c r="BG73" i="3"/>
  <c r="BW73" i="3" s="1"/>
  <c r="BG75" i="3"/>
  <c r="BW75" i="3" s="1"/>
  <c r="BG77" i="3"/>
  <c r="BW77" i="3" s="1"/>
  <c r="BH72" i="3"/>
  <c r="BX72" i="3" s="1"/>
  <c r="BG68" i="3"/>
  <c r="BW68" i="3" s="1"/>
  <c r="BE65" i="3"/>
  <c r="BU65" i="3" s="1"/>
  <c r="BI9" i="3"/>
  <c r="BY9" i="3" s="1"/>
  <c r="BH12" i="3"/>
  <c r="BX12" i="3" s="1"/>
  <c r="BD9" i="3"/>
  <c r="BT9" i="3" s="1"/>
  <c r="BI8" i="3"/>
  <c r="BY8" i="3" s="1"/>
  <c r="BG4" i="3"/>
  <c r="BW4" i="3" s="1"/>
  <c r="BG6" i="3"/>
  <c r="BW6" i="3" s="1"/>
  <c r="BE53" i="3"/>
  <c r="BU53" i="3" s="1"/>
  <c r="BE55" i="3"/>
  <c r="BU55" i="3" s="1"/>
  <c r="BJ54" i="3"/>
  <c r="BZ54" i="3" s="1"/>
  <c r="BH54" i="3"/>
  <c r="BX54" i="3" s="1"/>
  <c r="BE78" i="3"/>
  <c r="BU78" i="3" s="1"/>
  <c r="BE80" i="3"/>
  <c r="BU80" i="3" s="1"/>
  <c r="BJ79" i="3"/>
  <c r="BZ79" i="3" s="1"/>
  <c r="BH79" i="3"/>
  <c r="BX79" i="3" s="1"/>
  <c r="BH35" i="3"/>
  <c r="BX35" i="3" s="1"/>
  <c r="BH37" i="3"/>
  <c r="BX37" i="3" s="1"/>
  <c r="BJ18" i="3"/>
  <c r="BZ18" i="3" s="1"/>
  <c r="BH18" i="3"/>
  <c r="BX18" i="3" s="1"/>
  <c r="BG19" i="3"/>
  <c r="BW19" i="3" s="1"/>
  <c r="BE14" i="3"/>
  <c r="BU14" i="3" s="1"/>
  <c r="BD15" i="3"/>
  <c r="BT15" i="3" s="1"/>
  <c r="BI14" i="3"/>
  <c r="BY14" i="3" s="1"/>
  <c r="BE49" i="3"/>
  <c r="BU49" i="3" s="1"/>
  <c r="BD50" i="3"/>
  <c r="BT50" i="3" s="1"/>
  <c r="BJ44" i="3"/>
  <c r="BZ44" i="3" s="1"/>
  <c r="BH44" i="3"/>
  <c r="BX44" i="3" s="1"/>
  <c r="BD43" i="3"/>
  <c r="BT43" i="3" s="1"/>
  <c r="BH143" i="3"/>
  <c r="BX143" i="3" s="1"/>
  <c r="BG144" i="3"/>
  <c r="BW144" i="3" s="1"/>
  <c r="BG146" i="3"/>
  <c r="BW146" i="3" s="1"/>
  <c r="BF147" i="3"/>
  <c r="BV147" i="3" s="1"/>
  <c r="BF38" i="3"/>
  <c r="BV38" i="3" s="1"/>
  <c r="BE41" i="3"/>
  <c r="BU41" i="3" s="1"/>
  <c r="BE158" i="3"/>
  <c r="BU158" i="3" s="1"/>
  <c r="BJ159" i="3"/>
  <c r="BZ159" i="3" s="1"/>
  <c r="BH135" i="3"/>
  <c r="BX135" i="3" s="1"/>
  <c r="BH137" i="3"/>
  <c r="BX137" i="3" s="1"/>
  <c r="BD114" i="3"/>
  <c r="BT114" i="3" s="1"/>
  <c r="BG113" i="3"/>
  <c r="BW113" i="3" s="1"/>
  <c r="BG115" i="3"/>
  <c r="BW115" i="3" s="1"/>
  <c r="BD92" i="3"/>
  <c r="BT92" i="3" s="1"/>
  <c r="BJ92" i="3"/>
  <c r="BZ92" i="3" s="1"/>
  <c r="BF89" i="3"/>
  <c r="BV89" i="3" s="1"/>
  <c r="BF91" i="3"/>
  <c r="BV91" i="3" s="1"/>
  <c r="BD91" i="3"/>
  <c r="BT91" i="3" s="1"/>
  <c r="BD61" i="3"/>
  <c r="BT61" i="3" s="1"/>
  <c r="BE59" i="3"/>
  <c r="BU59" i="3" s="1"/>
  <c r="BF30" i="3"/>
  <c r="BV30" i="3" s="1"/>
  <c r="BE31" i="3"/>
  <c r="BU31" i="3" s="1"/>
  <c r="BJ30" i="3"/>
  <c r="BZ30" i="3" s="1"/>
  <c r="BJ153" i="3"/>
  <c r="BZ153" i="3" s="1"/>
  <c r="BH153" i="3"/>
  <c r="BX153" i="3" s="1"/>
  <c r="BG156" i="3"/>
  <c r="BW156" i="3" s="1"/>
  <c r="BF150" i="3"/>
  <c r="BV150" i="3" s="1"/>
  <c r="BE151" i="3"/>
  <c r="BU151" i="3" s="1"/>
  <c r="BJ150" i="3"/>
  <c r="BZ150" i="3" s="1"/>
  <c r="BE128" i="3"/>
  <c r="BU128" i="3" s="1"/>
  <c r="BH119" i="3"/>
  <c r="BX119" i="3" s="1"/>
  <c r="BH121" i="3"/>
  <c r="BX121" i="3" s="1"/>
  <c r="BG102" i="3"/>
  <c r="BW102" i="3" s="1"/>
  <c r="BH99" i="3"/>
  <c r="BX99" i="3" s="1"/>
  <c r="BJ99" i="3"/>
  <c r="BZ99" i="3" s="1"/>
  <c r="BD95" i="3"/>
  <c r="BT95" i="3" s="1"/>
  <c r="BH95" i="3"/>
  <c r="BX95" i="3" s="1"/>
  <c r="BE23" i="3"/>
  <c r="BU23" i="3" s="1"/>
  <c r="BE25" i="3"/>
  <c r="BU25" i="3" s="1"/>
  <c r="BJ24" i="3"/>
  <c r="BZ24" i="3" s="1"/>
  <c r="BD168" i="3"/>
  <c r="BT168" i="3" s="1"/>
  <c r="BH165" i="3"/>
  <c r="BX165" i="3" s="1"/>
  <c r="BG168" i="3"/>
  <c r="BW168" i="3" s="1"/>
  <c r="BE167" i="3"/>
  <c r="BU167" i="3" s="1"/>
  <c r="BD163" i="3"/>
  <c r="BT163" i="3" s="1"/>
  <c r="BD164" i="3"/>
  <c r="BT164" i="3" s="1"/>
  <c r="BJ174" i="3"/>
  <c r="BZ174" i="3" s="1"/>
  <c r="BE171" i="3"/>
  <c r="BU171" i="3" s="1"/>
  <c r="E171" i="7" s="1"/>
  <c r="BF175" i="3"/>
  <c r="BV175" i="3" s="1"/>
  <c r="BE193" i="3"/>
  <c r="BU193" i="3" s="1"/>
  <c r="BJ191" i="3"/>
  <c r="BZ191" i="3" s="1"/>
  <c r="BJ193" i="3"/>
  <c r="BZ193" i="3" s="1"/>
  <c r="BG193" i="3"/>
  <c r="BW193" i="3" s="1"/>
  <c r="BD191" i="3"/>
  <c r="BT191" i="3" s="1"/>
  <c r="BH108" i="3"/>
  <c r="BX108" i="3" s="1"/>
  <c r="BF109" i="3"/>
  <c r="BV109" i="3" s="1"/>
  <c r="BH188" i="3"/>
  <c r="BX188" i="3" s="1"/>
  <c r="BD185" i="3"/>
  <c r="BT185" i="3" s="1"/>
  <c r="BJ185" i="3"/>
  <c r="BZ185" i="3" s="1"/>
  <c r="BH185" i="3"/>
  <c r="BX185" i="3" s="1"/>
  <c r="BG182" i="3"/>
  <c r="BW182" i="3" s="1"/>
  <c r="BH182" i="3"/>
  <c r="BX182" i="3" s="1"/>
  <c r="BD180" i="3"/>
  <c r="BT180" i="3" s="1"/>
  <c r="BH177" i="3"/>
  <c r="BX177" i="3" s="1"/>
  <c r="H177" i="7" s="1"/>
  <c r="BH179" i="3"/>
  <c r="BX179" i="3" s="1"/>
  <c r="BJ111" i="3"/>
  <c r="BZ111" i="3" s="1"/>
  <c r="BF111" i="3"/>
  <c r="BV111" i="3" s="1"/>
  <c r="BG125" i="3"/>
  <c r="BW125" i="3" s="1"/>
  <c r="BF107" i="3"/>
  <c r="BV107" i="3" s="1"/>
  <c r="BG65" i="3"/>
  <c r="BW65" i="3" s="1"/>
  <c r="BD11" i="3"/>
  <c r="BT11" i="3" s="1"/>
  <c r="BJ56" i="3"/>
  <c r="BZ56" i="3" s="1"/>
  <c r="BG47" i="3"/>
  <c r="BW47" i="3" s="1"/>
  <c r="BE143" i="3"/>
  <c r="BU143" i="3" s="1"/>
  <c r="BD116" i="3"/>
  <c r="BT116" i="3" s="1"/>
  <c r="BD149" i="3"/>
  <c r="BT149" i="3" s="1"/>
  <c r="BF99" i="3"/>
  <c r="BV99" i="3" s="1"/>
  <c r="BG25" i="3"/>
  <c r="BW25" i="3" s="1"/>
  <c r="BG169" i="3"/>
  <c r="BW169" i="3" s="1"/>
  <c r="BF173" i="3"/>
  <c r="BV173" i="3" s="1"/>
  <c r="BF193" i="3"/>
  <c r="BV193" i="3" s="1"/>
  <c r="BJ187" i="3"/>
  <c r="BZ187" i="3" s="1"/>
  <c r="BH83" i="3"/>
  <c r="BX83" i="3" s="1"/>
  <c r="BD77" i="3"/>
  <c r="BT77" i="3" s="1"/>
  <c r="BJ72" i="3"/>
  <c r="BZ72" i="3" s="1"/>
  <c r="BH67" i="3"/>
  <c r="BX67" i="3" s="1"/>
  <c r="BG9" i="3"/>
  <c r="BW9" i="3" s="1"/>
  <c r="BF12" i="3"/>
  <c r="BV12" i="3" s="1"/>
  <c r="BG7" i="3"/>
  <c r="BW7" i="3" s="1"/>
  <c r="BE7" i="3"/>
  <c r="BU7" i="3" s="1"/>
  <c r="BJ6" i="3"/>
  <c r="BZ6" i="3" s="1"/>
  <c r="BF5" i="3"/>
  <c r="BV5" i="3" s="1"/>
  <c r="BD54" i="3"/>
  <c r="BT54" i="3" s="1"/>
  <c r="BG53" i="3"/>
  <c r="BW53" i="3" s="1"/>
  <c r="BH80" i="3"/>
  <c r="BX80" i="3" s="1"/>
  <c r="BD79" i="3"/>
  <c r="BT79" i="3" s="1"/>
  <c r="BG78" i="3"/>
  <c r="BW78" i="3" s="1"/>
  <c r="BG36" i="3"/>
  <c r="BW36" i="3" s="1"/>
  <c r="BF37" i="3"/>
  <c r="BV37" i="3" s="1"/>
  <c r="BJ21" i="3"/>
  <c r="BZ21" i="3" s="1"/>
  <c r="BF18" i="3"/>
  <c r="BV18" i="3" s="1"/>
  <c r="BF20" i="3"/>
  <c r="BV20" i="3" s="1"/>
  <c r="BD13" i="3"/>
  <c r="BT13" i="3" s="1"/>
  <c r="BJ13" i="3"/>
  <c r="BZ13" i="3" s="1"/>
  <c r="BH13" i="3"/>
  <c r="BX13" i="3" s="1"/>
  <c r="BG14" i="3"/>
  <c r="BW14" i="3" s="1"/>
  <c r="BH49" i="3"/>
  <c r="BX49" i="3" s="1"/>
  <c r="BD48" i="3"/>
  <c r="BT48" i="3" s="1"/>
  <c r="BJ48" i="3"/>
  <c r="BZ48" i="3" s="1"/>
  <c r="BD44" i="3"/>
  <c r="BT44" i="3" s="1"/>
  <c r="BG43" i="3"/>
  <c r="BW43" i="3" s="1"/>
  <c r="BG45" i="3"/>
  <c r="BW45" i="3" s="1"/>
  <c r="BJ146" i="3"/>
  <c r="BZ146" i="3" s="1"/>
  <c r="BF143" i="3"/>
  <c r="BV143" i="3" s="1"/>
  <c r="BF145" i="3"/>
  <c r="BV145" i="3" s="1"/>
  <c r="BE146" i="3"/>
  <c r="BU146" i="3" s="1"/>
  <c r="BH162" i="3"/>
  <c r="BX162" i="3" s="1"/>
  <c r="BF137" i="3"/>
  <c r="BV137" i="3" s="1"/>
  <c r="BD137" i="3"/>
  <c r="BT137" i="3" s="1"/>
  <c r="BF117" i="3"/>
  <c r="BV117" i="3" s="1"/>
  <c r="BJ117" i="3"/>
  <c r="BZ117" i="3" s="1"/>
  <c r="BF114" i="3"/>
  <c r="BV114" i="3" s="1"/>
  <c r="BJ90" i="3"/>
  <c r="BZ90" i="3" s="1"/>
  <c r="BE90" i="3"/>
  <c r="BU90" i="3" s="1"/>
  <c r="BJ89" i="3"/>
  <c r="BZ89" i="3" s="1"/>
  <c r="BJ59" i="3"/>
  <c r="BZ59" i="3" s="1"/>
  <c r="BH59" i="3"/>
  <c r="BX59" i="3" s="1"/>
  <c r="BH61" i="3"/>
  <c r="BX61" i="3" s="1"/>
  <c r="BE29" i="3"/>
  <c r="BU29" i="3" s="1"/>
  <c r="BD30" i="3"/>
  <c r="BT30" i="3" s="1"/>
  <c r="BH30" i="3"/>
  <c r="BX30" i="3" s="1"/>
  <c r="BG157" i="3"/>
  <c r="BW157" i="3" s="1"/>
  <c r="BE157" i="3"/>
  <c r="BU157" i="3" s="1"/>
  <c r="BJ156" i="3"/>
  <c r="BZ156" i="3" s="1"/>
  <c r="BF155" i="3"/>
  <c r="BV155" i="3" s="1"/>
  <c r="BE149" i="3"/>
  <c r="BU149" i="3" s="1"/>
  <c r="BD150" i="3"/>
  <c r="BT150" i="3" s="1"/>
  <c r="BG120" i="3"/>
  <c r="BW120" i="3" s="1"/>
  <c r="BG122" i="3"/>
  <c r="BW122" i="3" s="1"/>
  <c r="BE122" i="3"/>
  <c r="BU122" i="3" s="1"/>
  <c r="BF101" i="3"/>
  <c r="BV101" i="3" s="1"/>
  <c r="BD102" i="3"/>
  <c r="BT102" i="3" s="1"/>
  <c r="BH96" i="3"/>
  <c r="BX96" i="3" s="1"/>
  <c r="BJ93" i="3"/>
  <c r="BZ93" i="3" s="1"/>
  <c r="BH25" i="3"/>
  <c r="BX25" i="3" s="1"/>
  <c r="BD24" i="3"/>
  <c r="BT24" i="3" s="1"/>
  <c r="BD170" i="3"/>
  <c r="BT170" i="3" s="1"/>
  <c r="BH168" i="3"/>
  <c r="BX168" i="3" s="1"/>
  <c r="BF167" i="3"/>
  <c r="BV167" i="3" s="1"/>
  <c r="BH164" i="3"/>
  <c r="BX164" i="3" s="1"/>
  <c r="BJ163" i="3"/>
  <c r="BZ163" i="3" s="1"/>
  <c r="BF171" i="3"/>
  <c r="BV171" i="3" s="1"/>
  <c r="BH176" i="3"/>
  <c r="BX176" i="3" s="1"/>
  <c r="BE174" i="3"/>
  <c r="BU174" i="3" s="1"/>
  <c r="BD192" i="3"/>
  <c r="BT192" i="3" s="1"/>
  <c r="BJ194" i="3"/>
  <c r="BZ194" i="3" s="1"/>
  <c r="BH193" i="3"/>
  <c r="BX193" i="3" s="1"/>
  <c r="BF192" i="3"/>
  <c r="BV192" i="3" s="1"/>
  <c r="BJ189" i="3"/>
  <c r="BZ189" i="3" s="1"/>
  <c r="BH110" i="3"/>
  <c r="BX110" i="3" s="1"/>
  <c r="BE108" i="3"/>
  <c r="BU108" i="3" s="1"/>
  <c r="BG187" i="3"/>
  <c r="BW187" i="3" s="1"/>
  <c r="BJ183" i="3"/>
  <c r="BZ183" i="3" s="1"/>
  <c r="BD188" i="3"/>
  <c r="BT188" i="3" s="1"/>
  <c r="BE183" i="3"/>
  <c r="BD179" i="3"/>
  <c r="BT179" i="3" s="1"/>
  <c r="BG181" i="3"/>
  <c r="BW181" i="3" s="1"/>
  <c r="BD182" i="3"/>
  <c r="BT182" i="3" s="1"/>
  <c r="BF138" i="3"/>
  <c r="BV138" i="3" s="1"/>
  <c r="BG63" i="3"/>
  <c r="BW63" i="3" s="1"/>
  <c r="BF11" i="3"/>
  <c r="BV11" i="3" s="1"/>
  <c r="BD37" i="3"/>
  <c r="BT37" i="3" s="1"/>
  <c r="BE20" i="3"/>
  <c r="BU20" i="3" s="1"/>
  <c r="BG51" i="3"/>
  <c r="BW51" i="3" s="1"/>
  <c r="BG38" i="3"/>
  <c r="BW38" i="3" s="1"/>
  <c r="BF116" i="3"/>
  <c r="BV116" i="3" s="1"/>
  <c r="BH150" i="3"/>
  <c r="BX150" i="3" s="1"/>
  <c r="BJ121" i="3"/>
  <c r="BZ121" i="3" s="1"/>
  <c r="BG23" i="3"/>
  <c r="BW23" i="3" s="1"/>
  <c r="BJ169" i="3"/>
  <c r="BZ169" i="3" s="1"/>
  <c r="BG173" i="3"/>
  <c r="BW173" i="3" s="1"/>
  <c r="BF189" i="3"/>
  <c r="BV189" i="3" s="1"/>
  <c r="BD139" i="3"/>
  <c r="BT139" i="3" s="1"/>
  <c r="BH127" i="3"/>
  <c r="BX127" i="3" s="1"/>
  <c r="BH104" i="3"/>
  <c r="BX104" i="3" s="1"/>
  <c r="BJ103" i="3"/>
  <c r="BZ103" i="3" s="1"/>
  <c r="BG86" i="3"/>
  <c r="BW86" i="3" s="1"/>
  <c r="BF74" i="3"/>
  <c r="BV74" i="3" s="1"/>
  <c r="BD72" i="3"/>
  <c r="BT72" i="3" s="1"/>
  <c r="BH65" i="3"/>
  <c r="BX65" i="3" s="1"/>
  <c r="BH8" i="3"/>
  <c r="BX8" i="3" s="1"/>
  <c r="BG141" i="3"/>
  <c r="BW141" i="3" s="1"/>
  <c r="BG126" i="3"/>
  <c r="BW126" i="3" s="1"/>
  <c r="BD127" i="3"/>
  <c r="BT127" i="3" s="1"/>
  <c r="BG103" i="3"/>
  <c r="BW103" i="3" s="1"/>
  <c r="BG107" i="3"/>
  <c r="BW107" i="3" s="1"/>
  <c r="BJ86" i="3"/>
  <c r="BZ86" i="3" s="1"/>
  <c r="BF85" i="3"/>
  <c r="BV85" i="3" s="1"/>
  <c r="BE73" i="3"/>
  <c r="BU73" i="3" s="1"/>
  <c r="BE68" i="3"/>
  <c r="BU68" i="3" s="1"/>
  <c r="BG66" i="3"/>
  <c r="BW66" i="3" s="1"/>
  <c r="BF67" i="3"/>
  <c r="BV67" i="3" s="1"/>
  <c r="BD67" i="3"/>
  <c r="BT67" i="3" s="1"/>
  <c r="BJ11" i="3"/>
  <c r="BZ11" i="3" s="1"/>
  <c r="BF8" i="3"/>
  <c r="BV8" i="3" s="1"/>
  <c r="BE11" i="3"/>
  <c r="BU11" i="3" s="1"/>
  <c r="BF6" i="3"/>
  <c r="BV6" i="3" s="1"/>
  <c r="BD6" i="3"/>
  <c r="BT6" i="3" s="1"/>
  <c r="BI5" i="3"/>
  <c r="BY5" i="3" s="1"/>
  <c r="BI7" i="3"/>
  <c r="BY7" i="3" s="1"/>
  <c r="BE4" i="3"/>
  <c r="BU4" i="3" s="1"/>
  <c r="BG56" i="3"/>
  <c r="BW56" i="3" s="1"/>
  <c r="BF57" i="3"/>
  <c r="BV57" i="3" s="1"/>
  <c r="BJ57" i="3"/>
  <c r="BZ57" i="3" s="1"/>
  <c r="BG79" i="3"/>
  <c r="BW79" i="3" s="1"/>
  <c r="BG81" i="3"/>
  <c r="BW81" i="3" s="1"/>
  <c r="BE37" i="3"/>
  <c r="BU37" i="3" s="1"/>
  <c r="BJ36" i="3"/>
  <c r="BZ36" i="3" s="1"/>
  <c r="BF35" i="3"/>
  <c r="BV35" i="3" s="1"/>
  <c r="BE36" i="3"/>
  <c r="BU36" i="3" s="1"/>
  <c r="BD21" i="3"/>
  <c r="BT21" i="3" s="1"/>
  <c r="BE19" i="3"/>
  <c r="BU19" i="3" s="1"/>
  <c r="BG15" i="3"/>
  <c r="BW15" i="3" s="1"/>
  <c r="BG17" i="3"/>
  <c r="BW17" i="3" s="1"/>
  <c r="BE17" i="3"/>
  <c r="BU17" i="3" s="1"/>
  <c r="BF13" i="3"/>
  <c r="BV13" i="3" s="1"/>
  <c r="BG48" i="3"/>
  <c r="BW48" i="3" s="1"/>
  <c r="BG50" i="3"/>
  <c r="BW50" i="3" s="1"/>
  <c r="BF47" i="3"/>
  <c r="BV47" i="3" s="1"/>
  <c r="BD47" i="3"/>
  <c r="BT47" i="3" s="1"/>
  <c r="BJ47" i="3"/>
  <c r="BZ47" i="3" s="1"/>
  <c r="BF44" i="3"/>
  <c r="BV44" i="3" s="1"/>
  <c r="BD146" i="3"/>
  <c r="BT146" i="3" s="1"/>
  <c r="BE144" i="3"/>
  <c r="BU144" i="3" s="1"/>
  <c r="BD145" i="3"/>
  <c r="BT145" i="3" s="1"/>
  <c r="BH41" i="3"/>
  <c r="BX41" i="3" s="1"/>
  <c r="BD38" i="3"/>
  <c r="BT38" i="3" s="1"/>
  <c r="BJ38" i="3"/>
  <c r="BZ38" i="3" s="1"/>
  <c r="BH38" i="3"/>
  <c r="BX38" i="3" s="1"/>
  <c r="BH158" i="3"/>
  <c r="BX158" i="3" s="1"/>
  <c r="BG159" i="3"/>
  <c r="BW159" i="3" s="1"/>
  <c r="BG161" i="3"/>
  <c r="BW161" i="3" s="1"/>
  <c r="BF162" i="3"/>
  <c r="BV162" i="3" s="1"/>
  <c r="BF135" i="3"/>
  <c r="BV135" i="3" s="1"/>
  <c r="BJ135" i="3"/>
  <c r="BZ135" i="3" s="1"/>
  <c r="BE116" i="3"/>
  <c r="BU116" i="3" s="1"/>
  <c r="BJ115" i="3"/>
  <c r="BZ115" i="3" s="1"/>
  <c r="BE113" i="3"/>
  <c r="BU113" i="3" s="1"/>
  <c r="BH90" i="3"/>
  <c r="BX90" i="3" s="1"/>
  <c r="BH92" i="3"/>
  <c r="BX92" i="3" s="1"/>
  <c r="BD89" i="3"/>
  <c r="BT89" i="3" s="1"/>
  <c r="BG60" i="3"/>
  <c r="BW60" i="3" s="1"/>
  <c r="BG62" i="3"/>
  <c r="BW62" i="3" s="1"/>
  <c r="BG29" i="3"/>
  <c r="BW29" i="3" s="1"/>
  <c r="BF156" i="3"/>
  <c r="BV156" i="3" s="1"/>
  <c r="BD156" i="3"/>
  <c r="BT156" i="3" s="1"/>
  <c r="BH151" i="3"/>
  <c r="BX151" i="3" s="1"/>
  <c r="BJ128" i="3"/>
  <c r="BZ128" i="3" s="1"/>
  <c r="BH128" i="3"/>
  <c r="BX128" i="3" s="1"/>
  <c r="BD122" i="3"/>
  <c r="BT122" i="3" s="1"/>
  <c r="BJ122" i="3"/>
  <c r="BZ122" i="3" s="1"/>
  <c r="BF119" i="3"/>
  <c r="BV119" i="3" s="1"/>
  <c r="BF121" i="3"/>
  <c r="BV121" i="3" s="1"/>
  <c r="BD121" i="3"/>
  <c r="BT121" i="3" s="1"/>
  <c r="BG95" i="3"/>
  <c r="BW95" i="3" s="1"/>
  <c r="BG97" i="3"/>
  <c r="BW97" i="3" s="1"/>
  <c r="BE97" i="3"/>
  <c r="BU97" i="3" s="1"/>
  <c r="BJ96" i="3"/>
  <c r="BZ96" i="3" s="1"/>
  <c r="BF93" i="3"/>
  <c r="BV93" i="3" s="1"/>
  <c r="BG24" i="3"/>
  <c r="BW24" i="3" s="1"/>
  <c r="BG26" i="3"/>
  <c r="BW26" i="3" s="1"/>
  <c r="BJ168" i="3"/>
  <c r="BZ168" i="3" s="1"/>
  <c r="BG167" i="3"/>
  <c r="BW167" i="3" s="1"/>
  <c r="BG163" i="3"/>
  <c r="BW163" i="3" s="1"/>
  <c r="BJ164" i="3"/>
  <c r="BZ164" i="3" s="1"/>
  <c r="BG175" i="3"/>
  <c r="BW175" i="3" s="1"/>
  <c r="BD173" i="3"/>
  <c r="BT173" i="3" s="1"/>
  <c r="BH192" i="3"/>
  <c r="BX192" i="3" s="1"/>
  <c r="BG192" i="3"/>
  <c r="BW192" i="3" s="1"/>
  <c r="BE191" i="3"/>
  <c r="BU191" i="3" s="1"/>
  <c r="BD110" i="3"/>
  <c r="BT110" i="3" s="1"/>
  <c r="BG109" i="3"/>
  <c r="BW109" i="3" s="1"/>
  <c r="BF110" i="3"/>
  <c r="BV110" i="3" s="1"/>
  <c r="BF186" i="3"/>
  <c r="BV186" i="3" s="1"/>
  <c r="BE188" i="3"/>
  <c r="BU188" i="3" s="1"/>
  <c r="BJ186" i="3"/>
  <c r="BZ186" i="3" s="1"/>
  <c r="BF183" i="3"/>
  <c r="BV183" i="3" s="1"/>
  <c r="BJ182" i="3"/>
  <c r="BZ182" i="3" s="1"/>
  <c r="BH181" i="3"/>
  <c r="BX181" i="3" s="1"/>
  <c r="BF180" i="3"/>
  <c r="BV180" i="3" s="1"/>
  <c r="BJ180" i="3"/>
  <c r="BZ180" i="3" s="1"/>
  <c r="BF177" i="3"/>
  <c r="BV177" i="3" s="1"/>
  <c r="BG127" i="3"/>
  <c r="BW127" i="3" s="1"/>
  <c r="BH103" i="3"/>
  <c r="BX103" i="3" s="1"/>
  <c r="BJ87" i="3"/>
  <c r="BZ87" i="3" s="1"/>
  <c r="BE74" i="3"/>
  <c r="BU74" i="3" s="1"/>
  <c r="BE67" i="3"/>
  <c r="BU67" i="3" s="1"/>
  <c r="BE6" i="3"/>
  <c r="BU6" i="3" s="1"/>
  <c r="BG55" i="3"/>
  <c r="BW55" i="3" s="1"/>
  <c r="BG80" i="3"/>
  <c r="BW80" i="3" s="1"/>
  <c r="BJ37" i="3"/>
  <c r="BZ37" i="3" s="1"/>
  <c r="BJ20" i="3"/>
  <c r="BZ20" i="3" s="1"/>
  <c r="BF17" i="3"/>
  <c r="BV17" i="3" s="1"/>
  <c r="BF43" i="3"/>
  <c r="BV43" i="3" s="1"/>
  <c r="BE145" i="3"/>
  <c r="BU145" i="3" s="1"/>
  <c r="BG158" i="3"/>
  <c r="BW158" i="3" s="1"/>
  <c r="BJ137" i="3"/>
  <c r="BZ137" i="3" s="1"/>
  <c r="BG61" i="3"/>
  <c r="BW61" i="3" s="1"/>
  <c r="BG30" i="3"/>
  <c r="BW30" i="3" s="1"/>
  <c r="BH152" i="3"/>
  <c r="BX152" i="3" s="1"/>
  <c r="BF120" i="3"/>
  <c r="BV120" i="3" s="1"/>
  <c r="BD98" i="3"/>
  <c r="BT98" i="3" s="1"/>
  <c r="BF97" i="3"/>
  <c r="BV97" i="3" s="1"/>
  <c r="BG27" i="3"/>
  <c r="BW27" i="3" s="1"/>
  <c r="BE175" i="3"/>
  <c r="BU175" i="3" s="1"/>
  <c r="BH191" i="3"/>
  <c r="BX191" i="3" s="1"/>
  <c r="BD109" i="3"/>
  <c r="BT109" i="3" s="1"/>
  <c r="BH186" i="3"/>
  <c r="BX186" i="3" s="1"/>
  <c r="BG138" i="3"/>
  <c r="BW138" i="3" s="1"/>
  <c r="BG123" i="3"/>
  <c r="BW123" i="3" s="1"/>
  <c r="BD103" i="3"/>
  <c r="BT103" i="3" s="1"/>
  <c r="BJ83" i="3"/>
  <c r="BZ83" i="3" s="1"/>
  <c r="BG84" i="3"/>
  <c r="BW84" i="3" s="1"/>
  <c r="BJ77" i="3"/>
  <c r="BZ77" i="3" s="1"/>
  <c r="BG71" i="3"/>
  <c r="BW71" i="3" s="1"/>
  <c r="BF72" i="3"/>
  <c r="BV72" i="3" s="1"/>
  <c r="BF69" i="3"/>
  <c r="BV69" i="3" s="1"/>
  <c r="BG11" i="3"/>
  <c r="BW11" i="3" s="1"/>
  <c r="BF139" i="3"/>
  <c r="BV139" i="3" s="1"/>
  <c r="BF127" i="3"/>
  <c r="BV127" i="3" s="1"/>
  <c r="BJ127" i="3"/>
  <c r="BZ127" i="3" s="1"/>
  <c r="BG105" i="3"/>
  <c r="BW105" i="3" s="1"/>
  <c r="BG87" i="3"/>
  <c r="BW87" i="3" s="1"/>
  <c r="BF83" i="3"/>
  <c r="BV83" i="3" s="1"/>
  <c r="BJ75" i="3"/>
  <c r="BZ75" i="3" s="1"/>
  <c r="BE71" i="3"/>
  <c r="BU71" i="3" s="1"/>
  <c r="BF140" i="3"/>
  <c r="BV140" i="3" s="1"/>
  <c r="BJ140" i="3"/>
  <c r="BZ140" i="3" s="1"/>
  <c r="BE138" i="3"/>
  <c r="BU138" i="3" s="1"/>
  <c r="BF125" i="3"/>
  <c r="BV125" i="3" s="1"/>
  <c r="BE126" i="3"/>
  <c r="BU126" i="3" s="1"/>
  <c r="BJ125" i="3"/>
  <c r="BZ125" i="3" s="1"/>
  <c r="BD107" i="3"/>
  <c r="BT107" i="3" s="1"/>
  <c r="BJ107" i="3"/>
  <c r="BZ107" i="3" s="1"/>
  <c r="BF104" i="3"/>
  <c r="BV104" i="3" s="1"/>
  <c r="BF86" i="3"/>
  <c r="BV86" i="3" s="1"/>
  <c r="BD86" i="3"/>
  <c r="BT86" i="3" s="1"/>
  <c r="BE84" i="3"/>
  <c r="BU84" i="3" s="1"/>
  <c r="BH77" i="3"/>
  <c r="BX77" i="3" s="1"/>
  <c r="BD74" i="3"/>
  <c r="BT74" i="3" s="1"/>
  <c r="BJ66" i="3"/>
  <c r="BZ66" i="3" s="1"/>
  <c r="BF63" i="3"/>
  <c r="BV63" i="3" s="1"/>
  <c r="BF65" i="3"/>
  <c r="BV65" i="3" s="1"/>
  <c r="BE66" i="3"/>
  <c r="BU66" i="3" s="1"/>
  <c r="BJ65" i="3"/>
  <c r="BZ65" i="3" s="1"/>
  <c r="BI12" i="3"/>
  <c r="BY12" i="3" s="1"/>
  <c r="BE9" i="3"/>
  <c r="BU9" i="3" s="1"/>
  <c r="BD10" i="3"/>
  <c r="BT10" i="3" s="1"/>
  <c r="BE5" i="3"/>
  <c r="BU5" i="3" s="1"/>
  <c r="BJ4" i="3"/>
  <c r="BZ4" i="3" s="1"/>
  <c r="BH4" i="3"/>
  <c r="BX4" i="3" s="1"/>
  <c r="BH6" i="3"/>
  <c r="BX6" i="3" s="1"/>
  <c r="BF55" i="3"/>
  <c r="BV55" i="3" s="1"/>
  <c r="BE56" i="3"/>
  <c r="BU56" i="3" s="1"/>
  <c r="BJ55" i="3"/>
  <c r="BZ55" i="3" s="1"/>
  <c r="BF78" i="3"/>
  <c r="BV78" i="3" s="1"/>
  <c r="BF80" i="3"/>
  <c r="BV80" i="3" s="1"/>
  <c r="BE81" i="3"/>
  <c r="BU81" i="3" s="1"/>
  <c r="BJ80" i="3"/>
  <c r="BZ80" i="3" s="1"/>
  <c r="BD36" i="3"/>
  <c r="BT36" i="3" s="1"/>
  <c r="BD35" i="3"/>
  <c r="BT35" i="3" s="1"/>
  <c r="BJ19" i="3"/>
  <c r="BZ19" i="3" s="1"/>
  <c r="BH19" i="3"/>
  <c r="BX19" i="3" s="1"/>
  <c r="BH21" i="3"/>
  <c r="BX21" i="3" s="1"/>
  <c r="BD18" i="3"/>
  <c r="BT18" i="3" s="1"/>
  <c r="BF14" i="3"/>
  <c r="BV14" i="3" s="1"/>
  <c r="BF49" i="3"/>
  <c r="BV49" i="3" s="1"/>
  <c r="BF51" i="3"/>
  <c r="BV51" i="3" s="1"/>
  <c r="BD51" i="3"/>
  <c r="BT51" i="3" s="1"/>
  <c r="BJ45" i="3"/>
  <c r="BZ45" i="3" s="1"/>
  <c r="BE43" i="3"/>
  <c r="BU43" i="3" s="1"/>
  <c r="BJ144" i="3"/>
  <c r="BZ144" i="3" s="1"/>
  <c r="BH144" i="3"/>
  <c r="BX144" i="3" s="1"/>
  <c r="BH146" i="3"/>
  <c r="BX146" i="3" s="1"/>
  <c r="BD143" i="3"/>
  <c r="BT143" i="3" s="1"/>
  <c r="BJ143" i="3"/>
  <c r="BZ143" i="3" s="1"/>
  <c r="BG42" i="3"/>
  <c r="BW42" i="3" s="1"/>
  <c r="BE42" i="3"/>
  <c r="BU42" i="3" s="1"/>
  <c r="BJ41" i="3"/>
  <c r="BZ41" i="3" s="1"/>
  <c r="BJ161" i="3"/>
  <c r="BZ161" i="3" s="1"/>
  <c r="BF158" i="3"/>
  <c r="BV158" i="3" s="1"/>
  <c r="BE161" i="3"/>
  <c r="BU161" i="3" s="1"/>
  <c r="BD135" i="3"/>
  <c r="BD115" i="3"/>
  <c r="BT115" i="3" s="1"/>
  <c r="BH115" i="3"/>
  <c r="BX115" i="3" s="1"/>
  <c r="BH117" i="3"/>
  <c r="BX117" i="3" s="1"/>
  <c r="BG89" i="3"/>
  <c r="BW89" i="3" s="1"/>
  <c r="BG91" i="3"/>
  <c r="BW91" i="3" s="1"/>
  <c r="BF92" i="3"/>
  <c r="BV92" i="3" s="1"/>
  <c r="BF62" i="3"/>
  <c r="BV62" i="3" s="1"/>
  <c r="BD62" i="3"/>
  <c r="BT62" i="3" s="1"/>
  <c r="BJ62" i="3"/>
  <c r="BZ62" i="3" s="1"/>
  <c r="BF59" i="3"/>
  <c r="BV59" i="3" s="1"/>
  <c r="BF61" i="3"/>
  <c r="BV61" i="3" s="1"/>
  <c r="BG32" i="3"/>
  <c r="BW32" i="3" s="1"/>
  <c r="BE32" i="3"/>
  <c r="BU32" i="3" s="1"/>
  <c r="BJ31" i="3"/>
  <c r="BZ31" i="3" s="1"/>
  <c r="BE155" i="3"/>
  <c r="BU155" i="3" s="1"/>
  <c r="BH156" i="3"/>
  <c r="BX156" i="3" s="1"/>
  <c r="BD153" i="3"/>
  <c r="BT153" i="3" s="1"/>
  <c r="BG150" i="3"/>
  <c r="BW150" i="3" s="1"/>
  <c r="BG152" i="3"/>
  <c r="BW152" i="3" s="1"/>
  <c r="BE152" i="3"/>
  <c r="BU152" i="3" s="1"/>
  <c r="BJ151" i="3"/>
  <c r="BZ151" i="3" s="1"/>
  <c r="BF128" i="3"/>
  <c r="BV128" i="3" s="1"/>
  <c r="BJ120" i="3"/>
  <c r="BZ120" i="3" s="1"/>
  <c r="BE120" i="3"/>
  <c r="BU120" i="3" s="1"/>
  <c r="BJ119" i="3"/>
  <c r="BZ119" i="3" s="1"/>
  <c r="BF102" i="3"/>
  <c r="BV102" i="3" s="1"/>
  <c r="BG99" i="3"/>
  <c r="BW99" i="3" s="1"/>
  <c r="BH98" i="3"/>
  <c r="BX98" i="3" s="1"/>
  <c r="BF96" i="3"/>
  <c r="BV96" i="3" s="1"/>
  <c r="BD96" i="3"/>
  <c r="BT96" i="3" s="1"/>
  <c r="BJ26" i="3"/>
  <c r="BZ26" i="3" s="1"/>
  <c r="BF23" i="3"/>
  <c r="BV23" i="3" s="1"/>
  <c r="BF25" i="3"/>
  <c r="BV25" i="3" s="1"/>
  <c r="BE26" i="3"/>
  <c r="BU26" i="3" s="1"/>
  <c r="BJ25" i="3"/>
  <c r="BZ25" i="3" s="1"/>
  <c r="BF165" i="3"/>
  <c r="BV165" i="3" s="1"/>
  <c r="BD165" i="3"/>
  <c r="BT165" i="3" s="1"/>
  <c r="BG170" i="3"/>
  <c r="BW170" i="3" s="1"/>
  <c r="BG164" i="3"/>
  <c r="BW164" i="3" s="1"/>
  <c r="BG171" i="3"/>
  <c r="BW171" i="3" s="1"/>
  <c r="BJ176" i="3"/>
  <c r="BZ176" i="3" s="1"/>
  <c r="BF174" i="3"/>
  <c r="BV174" i="3" s="1"/>
  <c r="BJ171" i="3"/>
  <c r="BZ171" i="3" s="1"/>
  <c r="BE176" i="3"/>
  <c r="BU176" i="3" s="1"/>
  <c r="BI189" i="3"/>
  <c r="BY189" i="3" s="1"/>
  <c r="BD194" i="3"/>
  <c r="BT194" i="3" s="1"/>
  <c r="BG191" i="3"/>
  <c r="BW191" i="3" s="1"/>
  <c r="BF191" i="3"/>
  <c r="BV191" i="3" s="1"/>
  <c r="BJ108" i="3"/>
  <c r="BZ108" i="3" s="1"/>
  <c r="BF108" i="3"/>
  <c r="BV108" i="3" s="1"/>
  <c r="BE109" i="3"/>
  <c r="BU109" i="3" s="1"/>
  <c r="BE185" i="3"/>
  <c r="BU185" i="3" s="1"/>
  <c r="BF188" i="3"/>
  <c r="BV188" i="3" s="1"/>
  <c r="BI185" i="3"/>
  <c r="BY185" i="3" s="1"/>
  <c r="BH183" i="3"/>
  <c r="BX183" i="3" s="1"/>
  <c r="BI188" i="3"/>
  <c r="BY188" i="3" s="1"/>
  <c r="BI181" i="3"/>
  <c r="BY181" i="3" s="1"/>
  <c r="BG180" i="3"/>
  <c r="BW180" i="3" s="1"/>
  <c r="BE179" i="3"/>
  <c r="BU179" i="3" s="1"/>
  <c r="BF181" i="3"/>
  <c r="BV181" i="3" s="1"/>
  <c r="BI179" i="3"/>
  <c r="BY179" i="3" s="1"/>
  <c r="BJ141" i="3"/>
  <c r="BZ141" i="3" s="1"/>
  <c r="BG104" i="3"/>
  <c r="BW104" i="3" s="1"/>
  <c r="BF9" i="3"/>
  <c r="BV9" i="3" s="1"/>
  <c r="BG57" i="3"/>
  <c r="BW57" i="3" s="1"/>
  <c r="BJ81" i="3"/>
  <c r="BZ81" i="3" s="1"/>
  <c r="BE18" i="3"/>
  <c r="BU18" i="3" s="1"/>
  <c r="BG49" i="3"/>
  <c r="BW49" i="3" s="1"/>
  <c r="BJ145" i="3"/>
  <c r="BZ145" i="3" s="1"/>
  <c r="BH91" i="3"/>
  <c r="BX91" i="3" s="1"/>
  <c r="BD29" i="3"/>
  <c r="BT29" i="3" s="1"/>
  <c r="BE153" i="3"/>
  <c r="BG128" i="3"/>
  <c r="BW128" i="3" s="1"/>
  <c r="BE102" i="3"/>
  <c r="BU102" i="3" s="1"/>
  <c r="BJ97" i="3"/>
  <c r="BZ97" i="3" s="1"/>
  <c r="BJ167" i="3"/>
  <c r="BZ167" i="3" s="1"/>
  <c r="BF187" i="3"/>
  <c r="BV187" i="3" s="1"/>
  <c r="BG140" i="3"/>
  <c r="BW140" i="3" s="1"/>
  <c r="BJ104" i="3"/>
  <c r="BZ104" i="3" s="1"/>
  <c r="BE139" i="3"/>
  <c r="BU139" i="3" s="1"/>
  <c r="BD140" i="3"/>
  <c r="BT140" i="3" s="1"/>
  <c r="BH140" i="3"/>
  <c r="BX140" i="3" s="1"/>
  <c r="BD125" i="3"/>
  <c r="BT125" i="3" s="1"/>
  <c r="BH125" i="3"/>
  <c r="BX125" i="3" s="1"/>
  <c r="BJ105" i="3"/>
  <c r="BZ105" i="3" s="1"/>
  <c r="BE103" i="3"/>
  <c r="BU103" i="3" s="1"/>
  <c r="BE85" i="3"/>
  <c r="BU85" i="3" s="1"/>
  <c r="BJ84" i="3"/>
  <c r="BZ84" i="3" s="1"/>
  <c r="BH84" i="3"/>
  <c r="BX84" i="3" s="1"/>
  <c r="BH86" i="3"/>
  <c r="BX86" i="3" s="1"/>
  <c r="BD83" i="3"/>
  <c r="BT83" i="3" s="1"/>
  <c r="BH73" i="3"/>
  <c r="BX73" i="3" s="1"/>
  <c r="BG74" i="3"/>
  <c r="BW74" i="3" s="1"/>
  <c r="BF77" i="3"/>
  <c r="BV77" i="3" s="1"/>
  <c r="BD68" i="3"/>
  <c r="BT68" i="3" s="1"/>
  <c r="BJ68" i="3"/>
  <c r="BZ68" i="3" s="1"/>
  <c r="BH68" i="3"/>
  <c r="BX68" i="3" s="1"/>
  <c r="BG69" i="3"/>
  <c r="BW69" i="3" s="1"/>
  <c r="BD65" i="3"/>
  <c r="BT65" i="3" s="1"/>
  <c r="BH9" i="3"/>
  <c r="BX9" i="3" s="1"/>
  <c r="BH11" i="3"/>
  <c r="BX11" i="3" s="1"/>
  <c r="BD8" i="3"/>
  <c r="BT8" i="3" s="1"/>
  <c r="BJ8" i="3"/>
  <c r="BZ8" i="3" s="1"/>
  <c r="BD4" i="3"/>
  <c r="BT4" i="3" s="1"/>
  <c r="BG5" i="3"/>
  <c r="BW5" i="3" s="1"/>
  <c r="BE54" i="3"/>
  <c r="BU54" i="3" s="1"/>
  <c r="BD55" i="3"/>
  <c r="BT55" i="3" s="1"/>
  <c r="BH55" i="3"/>
  <c r="BX55" i="3" s="1"/>
  <c r="BE79" i="3"/>
  <c r="BU79" i="3" s="1"/>
  <c r="BD80" i="3"/>
  <c r="BT80" i="3" s="1"/>
  <c r="BH36" i="3"/>
  <c r="BX36" i="3" s="1"/>
  <c r="BD33" i="3"/>
  <c r="BT33" i="3" s="1"/>
  <c r="BG18" i="3"/>
  <c r="BW18" i="3" s="1"/>
  <c r="BG20" i="3"/>
  <c r="BW20" i="3" s="1"/>
  <c r="BE13" i="3"/>
  <c r="BU13" i="3" s="1"/>
  <c r="BJ14" i="3"/>
  <c r="BZ14" i="3" s="1"/>
  <c r="BH14" i="3"/>
  <c r="BX14" i="3" s="1"/>
  <c r="BJ50" i="3"/>
  <c r="BZ50" i="3" s="1"/>
  <c r="BE48" i="3"/>
  <c r="BU48" i="3" s="1"/>
  <c r="BE50" i="3"/>
  <c r="BU50" i="3" s="1"/>
  <c r="BJ49" i="3"/>
  <c r="BZ49" i="3" s="1"/>
  <c r="BD45" i="3"/>
  <c r="BT45" i="3" s="1"/>
  <c r="BH47" i="3"/>
  <c r="BX47" i="3" s="1"/>
  <c r="BG143" i="3"/>
  <c r="BW143" i="3" s="1"/>
  <c r="BG145" i="3"/>
  <c r="BW145" i="3" s="1"/>
  <c r="BG147" i="3"/>
  <c r="BW147" i="3" s="1"/>
  <c r="BJ42" i="3"/>
  <c r="BZ42" i="3" s="1"/>
  <c r="BF39" i="3"/>
  <c r="BV39" i="3" s="1"/>
  <c r="BF41" i="3"/>
  <c r="BV41" i="3" s="1"/>
  <c r="BD41" i="3"/>
  <c r="BT41" i="3" s="1"/>
  <c r="BJ113" i="3"/>
  <c r="BZ113" i="3" s="1"/>
  <c r="BH113" i="3"/>
  <c r="BX113" i="3" s="1"/>
  <c r="BG114" i="3"/>
  <c r="BW114" i="3" s="1"/>
  <c r="BG116" i="3"/>
  <c r="BW116" i="3" s="1"/>
  <c r="BJ91" i="3"/>
  <c r="BZ91" i="3" s="1"/>
  <c r="BF90" i="3"/>
  <c r="BV90" i="3" s="1"/>
  <c r="BE91" i="3"/>
  <c r="BU91" i="3" s="1"/>
  <c r="BE61" i="3"/>
  <c r="BU61" i="3" s="1"/>
  <c r="BJ60" i="3"/>
  <c r="BZ60" i="3" s="1"/>
  <c r="BE60" i="3"/>
  <c r="BU60" i="3" s="1"/>
  <c r="BF31" i="3"/>
  <c r="BV31" i="3" s="1"/>
  <c r="BD31" i="3"/>
  <c r="BT31" i="3" s="1"/>
  <c r="BG153" i="3"/>
  <c r="BW153" i="3" s="1"/>
  <c r="BG155" i="3"/>
  <c r="BW155" i="3" s="1"/>
  <c r="BJ152" i="3"/>
  <c r="BZ152" i="3" s="1"/>
  <c r="BF149" i="3"/>
  <c r="BV149" i="3" s="1"/>
  <c r="BF151" i="3"/>
  <c r="BV151" i="3" s="1"/>
  <c r="BD151" i="3"/>
  <c r="BT151" i="3" s="1"/>
  <c r="BH120" i="3"/>
  <c r="BX120" i="3" s="1"/>
  <c r="BH122" i="3"/>
  <c r="BX122" i="3" s="1"/>
  <c r="BD119" i="3"/>
  <c r="BT119" i="3" s="1"/>
  <c r="BE101" i="3"/>
  <c r="BU101" i="3" s="1"/>
  <c r="BJ101" i="3"/>
  <c r="BZ101" i="3" s="1"/>
  <c r="BH101" i="3"/>
  <c r="BX101" i="3" s="1"/>
  <c r="BG98" i="3"/>
  <c r="BW98" i="3" s="1"/>
  <c r="BE93" i="3"/>
  <c r="BE95" i="3"/>
  <c r="BU95" i="3" s="1"/>
  <c r="BE24" i="3"/>
  <c r="BU24" i="3" s="1"/>
  <c r="BD25" i="3"/>
  <c r="BT25" i="3" s="1"/>
  <c r="BE170" i="3"/>
  <c r="BU170" i="3" s="1"/>
  <c r="BE165" i="3"/>
  <c r="BU165" i="3" s="1"/>
  <c r="BF169" i="3"/>
  <c r="BV169" i="3" s="1"/>
  <c r="BF163" i="3"/>
  <c r="BV163" i="3" s="1"/>
  <c r="BG174" i="3"/>
  <c r="BW174" i="3" s="1"/>
  <c r="BE173" i="3"/>
  <c r="BU173" i="3" s="1"/>
  <c r="BH175" i="3"/>
  <c r="BX175" i="3" s="1"/>
  <c r="BD175" i="3"/>
  <c r="BT175" i="3" s="1"/>
  <c r="BJ192" i="3"/>
  <c r="BZ192" i="3" s="1"/>
  <c r="BI192" i="3"/>
  <c r="BY192" i="3" s="1"/>
  <c r="BJ109" i="3"/>
  <c r="BZ109" i="3" s="1"/>
  <c r="BD108" i="3"/>
  <c r="BT108" i="3" s="1"/>
  <c r="BE187" i="3"/>
  <c r="BU187" i="3" s="1"/>
  <c r="BJ188" i="3"/>
  <c r="BZ188" i="3" s="1"/>
  <c r="BH187" i="3"/>
  <c r="BX187" i="3" s="1"/>
  <c r="BH180" i="3"/>
  <c r="BX180" i="3" s="1"/>
  <c r="BF179" i="3"/>
  <c r="BV179" i="3" s="1"/>
  <c r="BE182" i="3"/>
  <c r="BU182" i="3" s="1"/>
  <c r="BE111" i="3"/>
  <c r="BU111" i="3" s="1"/>
  <c r="BH111" i="3"/>
  <c r="BX111" i="3" s="1"/>
  <c r="A28" i="2" a="1"/>
  <c r="A28" i="2" s="1"/>
  <c r="A185" i="2" a="1"/>
  <c r="A185" i="2" s="1"/>
  <c r="A73" i="2" a="1"/>
  <c r="A73" i="2" s="1"/>
  <c r="A13" i="2" a="1"/>
  <c r="A13" i="2" s="1"/>
  <c r="A40" i="2" a="1"/>
  <c r="A40" i="2" s="1"/>
  <c r="A30" i="2" a="1"/>
  <c r="A30" i="2" s="1"/>
  <c r="A150" i="2" a="1"/>
  <c r="A150" i="2" s="1"/>
  <c r="A102" i="2" a="1"/>
  <c r="A102" i="2" s="1"/>
  <c r="A24" i="2" a="1"/>
  <c r="A24" i="2" s="1"/>
  <c r="A170" i="2" a="1"/>
  <c r="A170" i="2" s="1"/>
  <c r="A192" i="2" a="1"/>
  <c r="A192" i="2" s="1"/>
  <c r="A188" i="2" a="1"/>
  <c r="A188" i="2" s="1"/>
  <c r="A179" i="2" a="1"/>
  <c r="A179" i="2" s="1"/>
  <c r="A138" i="2" a="1"/>
  <c r="A138" i="2" s="1"/>
  <c r="A84" i="2" a="1"/>
  <c r="A84" i="2" s="1"/>
  <c r="A128" i="2" a="1"/>
  <c r="A128" i="2" s="1"/>
  <c r="A20" i="2" a="1"/>
  <c r="A20" i="2" s="1"/>
  <c r="A162" i="2" a="1"/>
  <c r="A162" i="2" s="1"/>
  <c r="A113" i="2" a="1"/>
  <c r="A113" i="2" s="1"/>
  <c r="A32" i="2" a="1"/>
  <c r="A32" i="2" s="1"/>
  <c r="A141" i="2" a="1"/>
  <c r="A141" i="2" s="1"/>
  <c r="A81" i="2" a="1"/>
  <c r="A81" i="2" s="1"/>
  <c r="A77" i="2" a="1"/>
  <c r="A77" i="2" s="1"/>
  <c r="A79" i="2" a="1"/>
  <c r="A79" i="2" s="1"/>
  <c r="A48" i="2" a="1"/>
  <c r="A48" i="2" s="1"/>
  <c r="A159" i="2" a="1"/>
  <c r="A159" i="2" s="1"/>
  <c r="A137" i="2" a="1"/>
  <c r="A137" i="2" s="1"/>
  <c r="A117" i="2" a="1"/>
  <c r="A117" i="2" s="1"/>
  <c r="A58" i="2" a="1"/>
  <c r="A58" i="2" s="1"/>
  <c r="A166" i="2" a="1"/>
  <c r="A166" i="2" s="1"/>
  <c r="A182" i="2" a="1"/>
  <c r="A182" i="2" s="1"/>
  <c r="A46" i="2" a="1"/>
  <c r="A46" i="2" s="1"/>
  <c r="A42" i="2" a="1"/>
  <c r="A42" i="2" s="1"/>
  <c r="A161" i="2" a="1"/>
  <c r="A161" i="2" s="1"/>
  <c r="A57" i="2" a="1"/>
  <c r="A57" i="2" s="1"/>
  <c r="A82" i="2" a="1"/>
  <c r="A82" i="2" s="1"/>
  <c r="A21" i="2" a="1"/>
  <c r="A21" i="2" s="1"/>
  <c r="A47" i="2" a="1"/>
  <c r="A47" i="2" s="1"/>
  <c r="A146" i="2" a="1"/>
  <c r="A146" i="2" s="1"/>
  <c r="A145" i="2" a="1"/>
  <c r="A145" i="2" s="1"/>
  <c r="A38" i="2" a="1"/>
  <c r="A38" i="2" s="1"/>
  <c r="A89" i="2" a="1"/>
  <c r="A89" i="2" s="1"/>
  <c r="A148" i="2" a="1"/>
  <c r="A148" i="2" s="1"/>
  <c r="A122" i="2" a="1"/>
  <c r="A122" i="2" s="1"/>
  <c r="A121" i="2" a="1"/>
  <c r="A121" i="2" s="1"/>
  <c r="A99" i="2" a="1"/>
  <c r="A99" i="2" s="1"/>
  <c r="A27" i="2" a="1"/>
  <c r="A27" i="2" s="1"/>
  <c r="A173" i="2" a="1"/>
  <c r="A173" i="2" s="1"/>
  <c r="A110" i="2" a="1"/>
  <c r="A110" i="2" s="1"/>
  <c r="A19" i="2" a="1"/>
  <c r="A19" i="2" s="1"/>
  <c r="A144" i="2" a="1"/>
  <c r="A144" i="2" s="1"/>
  <c r="A139" i="2" a="1"/>
  <c r="A139" i="2" s="1"/>
  <c r="A103" i="2" a="1"/>
  <c r="A103" i="2" s="1"/>
  <c r="A72" i="2" a="1"/>
  <c r="A72" i="2" s="1"/>
  <c r="A54" i="2" a="1"/>
  <c r="A54" i="2" s="1"/>
  <c r="A44" i="2" a="1"/>
  <c r="A44" i="2" s="1"/>
  <c r="A142" i="2" a="1"/>
  <c r="A142" i="2" s="1"/>
  <c r="A107" i="2" a="1"/>
  <c r="A107" i="2" s="1"/>
  <c r="A86" i="2" a="1"/>
  <c r="A86" i="2" s="1"/>
  <c r="A74" i="2" a="1"/>
  <c r="A74" i="2" s="1"/>
  <c r="A70" i="2" a="1"/>
  <c r="A70" i="2" s="1"/>
  <c r="A10" i="2" a="1"/>
  <c r="A10" i="2" s="1"/>
  <c r="A18" i="2" a="1"/>
  <c r="A18" i="2" s="1"/>
  <c r="A16" i="2" a="1"/>
  <c r="A16" i="2" s="1"/>
  <c r="A52" i="2" a="1"/>
  <c r="A52" i="2" s="1"/>
  <c r="A51" i="2" a="1"/>
  <c r="A51" i="2" s="1"/>
  <c r="A143" i="2" a="1"/>
  <c r="A143" i="2" s="1"/>
  <c r="A135" i="2" a="1"/>
  <c r="A135" i="2" s="1"/>
  <c r="A115" i="2" a="1"/>
  <c r="A115" i="2" s="1"/>
  <c r="A62" i="2" a="1"/>
  <c r="A62" i="2" s="1"/>
  <c r="A165" i="2" a="1"/>
  <c r="A165" i="2" s="1"/>
  <c r="A194" i="2" a="1"/>
  <c r="A194" i="2" s="1"/>
  <c r="A190" i="2" a="1"/>
  <c r="A190" i="2" s="1"/>
  <c r="A140" i="2" a="1"/>
  <c r="A140" i="2" s="1"/>
  <c r="A83" i="2" a="1"/>
  <c r="A83" i="2" s="1"/>
  <c r="A68" i="2" a="1"/>
  <c r="A68" i="2" s="1"/>
  <c r="A8" i="2" a="1"/>
  <c r="A8" i="2" s="1"/>
  <c r="A55" i="2" a="1"/>
  <c r="A55" i="2" s="1"/>
  <c r="A80" i="2" a="1"/>
  <c r="A80" i="2" s="1"/>
  <c r="A45" i="2" a="1"/>
  <c r="A45" i="2" s="1"/>
  <c r="A41" i="2" a="1"/>
  <c r="A41" i="2" s="1"/>
  <c r="A160" i="2" a="1"/>
  <c r="A160" i="2" s="1"/>
  <c r="A31" i="2" a="1"/>
  <c r="A31" i="2" s="1"/>
  <c r="A151" i="2" a="1"/>
  <c r="A151" i="2" s="1"/>
  <c r="A119" i="2" a="1"/>
  <c r="A119" i="2" s="1"/>
  <c r="A25" i="2" a="1"/>
  <c r="A25" i="2" s="1"/>
  <c r="A108" i="2" a="1"/>
  <c r="A108" i="2" s="1"/>
  <c r="A184" i="2" a="1"/>
  <c r="A184" i="2" s="1"/>
  <c r="A178" i="2" a="1"/>
  <c r="A178" i="2" s="1"/>
  <c r="A104" i="2" a="1"/>
  <c r="A104" i="2" s="1"/>
  <c r="A53" i="2" a="1"/>
  <c r="A53" i="2" s="1"/>
  <c r="A78" i="2" a="1"/>
  <c r="A78" i="2" s="1"/>
  <c r="A22" i="2" a="1"/>
  <c r="A22" i="2" s="1"/>
  <c r="A14" i="2" a="1"/>
  <c r="A14" i="2" s="1"/>
  <c r="A49" i="2" a="1"/>
  <c r="A49" i="2" s="1"/>
  <c r="A147" i="2" a="1"/>
  <c r="A147" i="2" s="1"/>
  <c r="A158" i="2" a="1"/>
  <c r="A158" i="2" s="1"/>
  <c r="A90" i="2" a="1"/>
  <c r="A90" i="2" s="1"/>
  <c r="A60" i="2" a="1"/>
  <c r="A60" i="2" s="1"/>
  <c r="A59" i="2" a="1"/>
  <c r="A59" i="2" s="1"/>
  <c r="A100" i="2" a="1"/>
  <c r="A100" i="2" s="1"/>
  <c r="A23" i="2" a="1"/>
  <c r="A23" i="2" s="1"/>
  <c r="A172" i="2" a="1"/>
  <c r="A172" i="2" s="1"/>
  <c r="A189" i="2" a="1"/>
  <c r="A189" i="2" s="1"/>
  <c r="A186" i="2" a="1"/>
  <c r="A186" i="2" s="1"/>
  <c r="A56" i="2" a="1"/>
  <c r="A56" i="2" s="1"/>
  <c r="A87" i="2" a="1"/>
  <c r="A87" i="2" s="1"/>
  <c r="A76" i="2" a="1"/>
  <c r="A76" i="2" s="1"/>
  <c r="A75" i="2" a="1"/>
  <c r="A75" i="2" s="1"/>
  <c r="A71" i="2" a="1"/>
  <c r="A71" i="2" s="1"/>
  <c r="A12" i="2" a="1"/>
  <c r="A12" i="2" s="1"/>
  <c r="A11" i="2" a="1"/>
  <c r="A11" i="2" s="1"/>
  <c r="A17" i="2" a="1"/>
  <c r="A17" i="2" s="1"/>
  <c r="A39" i="2" a="1"/>
  <c r="A39" i="2" s="1"/>
  <c r="A136" i="2" a="1"/>
  <c r="A136" i="2" s="1"/>
  <c r="A116" i="2" a="1"/>
  <c r="A116" i="2" s="1"/>
  <c r="A88" i="2" a="1"/>
  <c r="A88" i="2" s="1"/>
  <c r="A29" i="2" a="1"/>
  <c r="A29" i="2" s="1"/>
  <c r="A149" i="2" a="1"/>
  <c r="A149" i="2" s="1"/>
  <c r="A98" i="2" a="1"/>
  <c r="A98" i="2" s="1"/>
  <c r="A167" i="2" a="1"/>
  <c r="A167" i="2" s="1"/>
  <c r="A171" i="2" a="1"/>
  <c r="A171" i="2" s="1"/>
  <c r="A109" i="2" a="1"/>
  <c r="A109" i="2" s="1"/>
  <c r="A177" i="2" a="1"/>
  <c r="A177" i="2" s="1"/>
  <c r="A111" i="2" a="1"/>
  <c r="A111" i="2" s="1"/>
  <c r="A152" i="2" a="1"/>
  <c r="A152" i="2" s="1"/>
  <c r="A120" i="2" a="1"/>
  <c r="A120" i="2" s="1"/>
  <c r="A101" i="2" a="1"/>
  <c r="A101" i="2" s="1"/>
  <c r="A26" i="2" a="1"/>
  <c r="A26" i="2" s="1"/>
  <c r="A176" i="2" a="1"/>
  <c r="A176" i="2" s="1"/>
  <c r="A174" i="2" a="1"/>
  <c r="A174" i="2" s="1"/>
  <c r="A112" i="2" a="1"/>
  <c r="A112" i="2" s="1"/>
  <c r="A106" i="2" a="1"/>
  <c r="A106" i="2" s="1"/>
  <c r="A105" i="2" a="1"/>
  <c r="A105" i="2" s="1"/>
  <c r="A85" i="2" a="1"/>
  <c r="A85" i="2" s="1"/>
  <c r="A69" i="2" a="1"/>
  <c r="A69" i="2" s="1"/>
  <c r="A9" i="2" a="1"/>
  <c r="A9" i="2" s="1"/>
  <c r="A15" i="2" a="1"/>
  <c r="A15" i="2" s="1"/>
  <c r="A50" i="2" a="1"/>
  <c r="A50" i="2" s="1"/>
  <c r="A43" i="2" a="1"/>
  <c r="A43" i="2" s="1"/>
  <c r="A114" i="2" a="1"/>
  <c r="A114" i="2" s="1"/>
  <c r="A92" i="2" a="1"/>
  <c r="A92" i="2" s="1"/>
  <c r="A91" i="2" a="1"/>
  <c r="A91" i="2" s="1"/>
  <c r="A61" i="2" a="1"/>
  <c r="A61" i="2" s="1"/>
  <c r="A118" i="2" a="1"/>
  <c r="A118" i="2" s="1"/>
  <c r="A168" i="2" a="1"/>
  <c r="A168" i="2" s="1"/>
  <c r="A164" i="2" a="1"/>
  <c r="A164" i="2" s="1"/>
  <c r="A191" i="2" a="1"/>
  <c r="A191" i="2" s="1"/>
  <c r="A183" i="2" a="1"/>
  <c r="A183" i="2" s="1"/>
  <c r="A180" i="2" a="1"/>
  <c r="A180" i="2" s="1"/>
  <c r="BD192" i="2"/>
  <c r="BD146" i="2"/>
  <c r="BD28" i="2"/>
  <c r="BD122" i="2"/>
  <c r="BD110" i="2"/>
  <c r="BD52" i="2"/>
  <c r="BD115" i="2"/>
  <c r="BD194" i="2"/>
  <c r="BD184" i="2"/>
  <c r="BD147" i="2"/>
  <c r="BD60" i="2"/>
  <c r="BD100" i="2"/>
  <c r="BD76" i="2"/>
  <c r="BD29" i="2"/>
  <c r="BD149" i="2"/>
  <c r="BD187" i="2"/>
  <c r="BD106" i="2"/>
  <c r="BD114" i="2"/>
  <c r="BD92" i="2"/>
  <c r="BD61" i="2"/>
  <c r="BD168" i="2"/>
  <c r="BD163" i="2"/>
  <c r="BD139" i="2"/>
  <c r="BD124" i="2"/>
  <c r="BD103" i="2"/>
  <c r="BD77" i="2"/>
  <c r="BD72" i="2"/>
  <c r="BD64" i="2"/>
  <c r="BD54" i="2"/>
  <c r="BD79" i="2"/>
  <c r="BD13" i="2"/>
  <c r="BD48" i="2"/>
  <c r="BD44" i="2"/>
  <c r="BD40" i="2"/>
  <c r="BD159" i="2"/>
  <c r="BD137" i="2"/>
  <c r="BD117" i="2"/>
  <c r="BD58" i="2"/>
  <c r="BD30" i="2"/>
  <c r="BD150" i="2"/>
  <c r="BD102" i="2"/>
  <c r="BD93" i="2"/>
  <c r="BD24" i="2"/>
  <c r="BD170" i="2"/>
  <c r="BD166" i="2"/>
  <c r="BD188" i="2"/>
  <c r="BD179" i="2"/>
  <c r="BD182" i="2"/>
  <c r="BD142" i="2"/>
  <c r="BD127" i="2"/>
  <c r="BD67" i="2"/>
  <c r="BD6" i="2"/>
  <c r="BD57" i="2"/>
  <c r="BD82" i="2"/>
  <c r="BD21" i="2"/>
  <c r="BD47" i="2"/>
  <c r="BD145" i="2"/>
  <c r="BD38" i="2"/>
  <c r="BD89" i="2"/>
  <c r="BD156" i="2"/>
  <c r="BD148" i="2"/>
  <c r="BD121" i="2"/>
  <c r="BD99" i="2"/>
  <c r="BD27" i="2"/>
  <c r="BD173" i="2"/>
  <c r="BD107" i="2"/>
  <c r="BD86" i="2"/>
  <c r="BD74" i="2"/>
  <c r="BD70" i="2"/>
  <c r="BD10" i="2"/>
  <c r="BD36" i="2"/>
  <c r="BD35" i="2"/>
  <c r="BD18" i="2"/>
  <c r="BD16" i="2"/>
  <c r="BD51" i="2"/>
  <c r="BD143" i="2"/>
  <c r="BD135" i="2"/>
  <c r="BD62" i="2"/>
  <c r="BD153" i="2"/>
  <c r="BD96" i="2"/>
  <c r="BD165" i="2"/>
  <c r="BD190" i="2"/>
  <c r="BD140" i="2"/>
  <c r="BD125" i="2"/>
  <c r="BD83" i="2"/>
  <c r="BD68" i="2"/>
  <c r="BD65" i="2"/>
  <c r="BD8" i="2"/>
  <c r="BD4" i="2"/>
  <c r="BD55" i="2"/>
  <c r="BD80" i="2"/>
  <c r="BD33" i="2"/>
  <c r="BD45" i="2"/>
  <c r="BD41" i="2"/>
  <c r="BD160" i="2"/>
  <c r="BD31" i="2"/>
  <c r="BD154" i="2"/>
  <c r="BD151" i="2"/>
  <c r="BD119" i="2"/>
  <c r="BD25" i="2"/>
  <c r="BD175" i="2"/>
  <c r="BD108" i="2"/>
  <c r="BD178" i="2"/>
  <c r="BD138" i="2"/>
  <c r="BD123" i="2"/>
  <c r="BD104" i="2"/>
  <c r="BD84" i="2"/>
  <c r="BD63" i="2"/>
  <c r="BD7" i="2"/>
  <c r="BD53" i="2"/>
  <c r="BD78" i="2"/>
  <c r="BD22" i="2"/>
  <c r="BD14" i="2"/>
  <c r="BD49" i="2"/>
  <c r="BD158" i="2"/>
  <c r="BD90" i="2"/>
  <c r="BD59" i="2"/>
  <c r="BD157" i="2"/>
  <c r="BD128" i="2"/>
  <c r="BD94" i="2"/>
  <c r="BD23" i="2"/>
  <c r="BD169" i="2"/>
  <c r="BD172" i="2"/>
  <c r="BD189" i="2"/>
  <c r="BD186" i="2"/>
  <c r="BD181" i="2"/>
  <c r="BD87" i="2"/>
  <c r="BD75" i="2"/>
  <c r="BD71" i="2"/>
  <c r="BD12" i="2"/>
  <c r="BD11" i="2"/>
  <c r="BD37" i="2"/>
  <c r="BD17" i="2"/>
  <c r="BD39" i="2"/>
  <c r="BD136" i="2"/>
  <c r="BD116" i="2"/>
  <c r="BD88" i="2"/>
  <c r="BD98" i="2"/>
  <c r="BD97" i="2"/>
  <c r="BD167" i="2"/>
  <c r="BD171" i="2"/>
  <c r="BD109" i="2"/>
  <c r="BD177" i="2"/>
  <c r="BD111" i="2"/>
  <c r="BD141" i="2"/>
  <c r="BD126" i="2"/>
  <c r="BD73" i="2"/>
  <c r="BD66" i="2"/>
  <c r="BD5" i="2"/>
  <c r="BD56" i="2"/>
  <c r="BD81" i="2"/>
  <c r="BD20" i="2"/>
  <c r="BD19" i="2"/>
  <c r="BD46" i="2"/>
  <c r="BD144" i="2"/>
  <c r="BD42" i="2"/>
  <c r="BD162" i="2"/>
  <c r="BD161" i="2"/>
  <c r="BD113" i="2"/>
  <c r="BD32" i="2"/>
  <c r="BD155" i="2"/>
  <c r="BD152" i="2"/>
  <c r="BD120" i="2"/>
  <c r="BD101" i="2"/>
  <c r="BD26" i="2"/>
  <c r="BD176" i="2"/>
  <c r="BD174" i="2"/>
  <c r="BD193" i="2"/>
  <c r="BD112" i="2"/>
  <c r="BD105" i="2"/>
  <c r="BD85" i="2"/>
  <c r="BD69" i="2"/>
  <c r="BD9" i="2"/>
  <c r="BD34" i="2"/>
  <c r="BD15" i="2"/>
  <c r="BD50" i="2"/>
  <c r="BD43" i="2"/>
  <c r="BD91" i="2"/>
  <c r="BD118" i="2"/>
  <c r="BD95" i="2"/>
  <c r="BD164" i="2"/>
  <c r="BD191" i="2"/>
  <c r="BD185" i="2"/>
  <c r="BD183" i="2"/>
  <c r="BD180" i="2"/>
  <c r="B75" i="3"/>
  <c r="BJ3" i="3"/>
  <c r="BH3" i="3"/>
  <c r="BF3" i="3"/>
  <c r="BD3" i="3"/>
  <c r="BT3" i="3" s="1"/>
  <c r="BI3" i="3"/>
  <c r="BG3" i="3"/>
  <c r="BE3" i="3"/>
  <c r="B135" i="3"/>
  <c r="B183" i="3"/>
  <c r="K57" i="2"/>
  <c r="B189" i="7"/>
  <c r="B189" i="3"/>
  <c r="B159" i="3"/>
  <c r="B3" i="3"/>
  <c r="B45" i="3"/>
  <c r="B93" i="7"/>
  <c r="B93" i="3"/>
  <c r="B33" i="7"/>
  <c r="B307" i="7" s="1"/>
  <c r="B313" i="7" s="1"/>
  <c r="B319" i="7" s="1"/>
  <c r="C319" i="7" s="1"/>
  <c r="B33" i="3"/>
  <c r="B129" i="7"/>
  <c r="B129" i="3"/>
  <c r="B111" i="7"/>
  <c r="B111" i="3"/>
  <c r="B153" i="3"/>
  <c r="B153" i="7"/>
  <c r="B147" i="7"/>
  <c r="B147" i="3"/>
  <c r="B117" i="7"/>
  <c r="B117" i="3"/>
  <c r="B141" i="7"/>
  <c r="B141" i="3"/>
  <c r="B57" i="7"/>
  <c r="B57" i="3"/>
  <c r="B51" i="7"/>
  <c r="B51" i="3"/>
  <c r="B87" i="7"/>
  <c r="B87" i="3"/>
  <c r="B123" i="7"/>
  <c r="B309" i="7" s="1"/>
  <c r="B315" i="7" s="1"/>
  <c r="B123" i="3"/>
  <c r="B63" i="7"/>
  <c r="B63" i="3"/>
  <c r="B177" i="3"/>
  <c r="B177" i="7"/>
  <c r="B171" i="7"/>
  <c r="B171" i="3"/>
  <c r="B165" i="7"/>
  <c r="B165" i="3"/>
  <c r="B81" i="7"/>
  <c r="B81" i="3"/>
  <c r="B39" i="7"/>
  <c r="B39" i="3"/>
  <c r="B15" i="7"/>
  <c r="B15" i="3"/>
  <c r="B69" i="7"/>
  <c r="B69" i="3"/>
  <c r="B9" i="7"/>
  <c r="B9" i="3"/>
  <c r="B105" i="7"/>
  <c r="B105" i="3"/>
  <c r="B27" i="7"/>
  <c r="B27" i="3"/>
  <c r="B99" i="7"/>
  <c r="B99" i="3"/>
  <c r="B21" i="7"/>
  <c r="B21" i="3"/>
  <c r="K39" i="2"/>
  <c r="K33" i="2"/>
  <c r="A36" i="2" s="1" a="1"/>
  <c r="A36" i="2" s="1"/>
  <c r="K21" i="2"/>
  <c r="K75" i="2"/>
  <c r="K153" i="2"/>
  <c r="A156" i="2" s="1" a="1"/>
  <c r="A156" i="2" s="1"/>
  <c r="K165" i="2"/>
  <c r="A169" i="2" s="1" a="1"/>
  <c r="A169" i="2" s="1"/>
  <c r="K99" i="2"/>
  <c r="K93" i="2"/>
  <c r="A93" i="2" s="1" a="1"/>
  <c r="A93" i="2" s="1"/>
  <c r="K123" i="2"/>
  <c r="A124" i="2" s="1" a="1"/>
  <c r="A124" i="2" s="1"/>
  <c r="K183" i="2"/>
  <c r="A187" i="2" s="1" a="1"/>
  <c r="A187" i="2" s="1"/>
  <c r="K105" i="2"/>
  <c r="K159" i="2"/>
  <c r="A163" i="2" s="1" a="1"/>
  <c r="A163" i="2" s="1"/>
  <c r="K141" i="2"/>
  <c r="K51" i="2"/>
  <c r="K87" i="2"/>
  <c r="K15" i="2"/>
  <c r="K9" i="2"/>
  <c r="L19" i="13" l="1"/>
  <c r="D31" i="13" s="1"/>
  <c r="L20" i="13"/>
  <c r="E31" i="13" s="1"/>
  <c r="D6" i="13"/>
  <c r="D47" i="6"/>
  <c r="D52" i="6" s="1"/>
  <c r="G129" i="7" s="1"/>
  <c r="B321" i="7"/>
  <c r="C321" i="7" s="1"/>
  <c r="C315" i="7"/>
  <c r="C313" i="7"/>
  <c r="F141" i="7"/>
  <c r="H141" i="7"/>
  <c r="G141" i="7"/>
  <c r="J141" i="7"/>
  <c r="I141" i="7"/>
  <c r="E141" i="7"/>
  <c r="D141" i="7"/>
  <c r="CA141" i="3" a="1"/>
  <c r="CA141" i="3" s="1"/>
  <c r="D123" i="7"/>
  <c r="CA123" i="3" a="1"/>
  <c r="CA123" i="3" s="1"/>
  <c r="D75" i="7"/>
  <c r="CA75" i="3" a="1"/>
  <c r="CA75" i="3" s="1"/>
  <c r="C307" i="7"/>
  <c r="C309" i="7"/>
  <c r="J33" i="7"/>
  <c r="CA33" i="3" a="1"/>
  <c r="CA33" i="3" s="1"/>
  <c r="BW3" i="3"/>
  <c r="BU3" i="3"/>
  <c r="BY3" i="3"/>
  <c r="BV3" i="3"/>
  <c r="BX3" i="3"/>
  <c r="BZ3" i="3"/>
  <c r="BZ303" i="3" s="1"/>
  <c r="BD295" i="3"/>
  <c r="BT295" i="3" s="1"/>
  <c r="BD295" i="2"/>
  <c r="D295" i="7"/>
  <c r="D270" i="7"/>
  <c r="BD270" i="2"/>
  <c r="BD270" i="3"/>
  <c r="BT270" i="3" s="1"/>
  <c r="A270" i="2" a="1"/>
  <c r="A270" i="2" s="1"/>
  <c r="D196" i="7"/>
  <c r="A196" i="2" a="1"/>
  <c r="A196" i="2" s="1"/>
  <c r="BD196" i="2"/>
  <c r="BD196" i="3"/>
  <c r="BT196" i="3" s="1"/>
  <c r="BD247" i="3"/>
  <c r="BT247" i="3" s="1"/>
  <c r="BD247" i="2"/>
  <c r="D247" i="7"/>
  <c r="D257" i="7"/>
  <c r="BD257" i="2"/>
  <c r="BD257" i="3"/>
  <c r="BT257" i="3" s="1"/>
  <c r="A257" i="2" a="1"/>
  <c r="A257" i="2" s="1"/>
  <c r="BD298" i="2"/>
  <c r="D298" i="7"/>
  <c r="A298" i="2" a="1"/>
  <c r="A298" i="2" s="1"/>
  <c r="BD298" i="3"/>
  <c r="BT298" i="3" s="1"/>
  <c r="D226" i="7"/>
  <c r="BD226" i="2"/>
  <c r="BD226" i="3"/>
  <c r="BT226" i="3" s="1"/>
  <c r="A226" i="2" a="1"/>
  <c r="A226" i="2" s="1"/>
  <c r="D243" i="7"/>
  <c r="BD243" i="2"/>
  <c r="A243" i="2" a="1"/>
  <c r="A243" i="2" s="1"/>
  <c r="BD243" i="3"/>
  <c r="BT243" i="3" s="1"/>
  <c r="BD252" i="2"/>
  <c r="D252" i="7"/>
  <c r="BD252" i="3"/>
  <c r="BT252" i="3" s="1"/>
  <c r="A252" i="2" a="1"/>
  <c r="A252" i="2" s="1"/>
  <c r="D269" i="7"/>
  <c r="BD269" i="2"/>
  <c r="A269" i="2" a="1"/>
  <c r="A269" i="2" s="1"/>
  <c r="BD269" i="3"/>
  <c r="BT269" i="3" s="1"/>
  <c r="A286" i="2" a="1"/>
  <c r="A286" i="2" s="1"/>
  <c r="BD286" i="2"/>
  <c r="D286" i="7"/>
  <c r="BD286" i="3"/>
  <c r="BT286" i="3" s="1"/>
  <c r="D235" i="7"/>
  <c r="BD235" i="2"/>
  <c r="BD235" i="3"/>
  <c r="BT235" i="3" s="1"/>
  <c r="D213" i="7"/>
  <c r="BD213" i="2"/>
  <c r="BD213" i="3"/>
  <c r="BT213" i="3" s="1"/>
  <c r="A213" i="2" a="1"/>
  <c r="A213" i="2" s="1"/>
  <c r="D231" i="7"/>
  <c r="BD231" i="2"/>
  <c r="A231" i="2" a="1"/>
  <c r="A231" i="2" s="1"/>
  <c r="BD231" i="3"/>
  <c r="BT231" i="3" s="1"/>
  <c r="D208" i="7"/>
  <c r="BD208" i="2"/>
  <c r="A208" i="2" a="1"/>
  <c r="A208" i="2" s="1"/>
  <c r="BD208" i="3"/>
  <c r="BT208" i="3" s="1"/>
  <c r="D253" i="7"/>
  <c r="BD253" i="2"/>
  <c r="BD253" i="3"/>
  <c r="BT253" i="3" s="1"/>
  <c r="A296" i="2" a="1"/>
  <c r="A296" i="2" s="1"/>
  <c r="BD296" i="2"/>
  <c r="D296" i="7"/>
  <c r="BD296" i="3"/>
  <c r="BT296" i="3" s="1"/>
  <c r="D264" i="7"/>
  <c r="BD264" i="3"/>
  <c r="BT264" i="3" s="1"/>
  <c r="BD264" i="2"/>
  <c r="A264" i="2" a="1"/>
  <c r="A264" i="2" s="1"/>
  <c r="D249" i="7"/>
  <c r="BD249" i="2"/>
  <c r="A249" i="2" a="1"/>
  <c r="A249" i="2" s="1"/>
  <c r="BD249" i="3"/>
  <c r="BT249" i="3" s="1"/>
  <c r="BD290" i="3"/>
  <c r="BT290" i="3" s="1"/>
  <c r="A290" i="2" a="1"/>
  <c r="A290" i="2" s="1"/>
  <c r="D290" i="7"/>
  <c r="BD290" i="2"/>
  <c r="A299" i="2" a="1"/>
  <c r="A299" i="2" s="1"/>
  <c r="BD299" i="2"/>
  <c r="D299" i="7"/>
  <c r="BD299" i="3"/>
  <c r="BT299" i="3" s="1"/>
  <c r="BD212" i="3"/>
  <c r="BT212" i="3" s="1"/>
  <c r="D212" i="7"/>
  <c r="BD212" i="2"/>
  <c r="A212" i="2" a="1"/>
  <c r="A212" i="2" s="1"/>
  <c r="A244" i="2" a="1"/>
  <c r="A244" i="2" s="1"/>
  <c r="BD244" i="2"/>
  <c r="BD244" i="3"/>
  <c r="BT244" i="3" s="1"/>
  <c r="D244" i="7"/>
  <c r="D261" i="7"/>
  <c r="BD261" i="2"/>
  <c r="BD261" i="3"/>
  <c r="BT261" i="3" s="1"/>
  <c r="A261" i="2" a="1"/>
  <c r="A261" i="2" s="1"/>
  <c r="D278" i="7"/>
  <c r="BD278" i="2"/>
  <c r="A278" i="2" a="1"/>
  <c r="A278" i="2" s="1"/>
  <c r="BD278" i="3"/>
  <c r="BT278" i="3" s="1"/>
  <c r="D227" i="7"/>
  <c r="BD227" i="2"/>
  <c r="A227" i="2" a="1"/>
  <c r="A227" i="2" s="1"/>
  <c r="BD227" i="3"/>
  <c r="BT227" i="3" s="1"/>
  <c r="D205" i="7"/>
  <c r="BD205" i="2"/>
  <c r="BD205" i="3"/>
  <c r="BT205" i="3" s="1"/>
  <c r="D223" i="7"/>
  <c r="BD223" i="2"/>
  <c r="BD223" i="3"/>
  <c r="BT223" i="3" s="1"/>
  <c r="D200" i="7"/>
  <c r="A200" i="2" a="1"/>
  <c r="A200" i="2" s="1"/>
  <c r="BD200" i="3"/>
  <c r="BT200" i="3" s="1"/>
  <c r="BD200" i="2"/>
  <c r="D282" i="7"/>
  <c r="A282" i="2" a="1"/>
  <c r="A282" i="2" s="1"/>
  <c r="BD282" i="3"/>
  <c r="BT282" i="3" s="1"/>
  <c r="BD282" i="2"/>
  <c r="D219" i="7"/>
  <c r="BD219" i="3"/>
  <c r="BT219" i="3" s="1"/>
  <c r="A219" i="2" a="1"/>
  <c r="A219" i="2" s="1"/>
  <c r="BD219" i="2"/>
  <c r="BD287" i="3"/>
  <c r="BT287" i="3" s="1"/>
  <c r="A287" i="2" a="1"/>
  <c r="A287" i="2" s="1"/>
  <c r="BD287" i="2"/>
  <c r="D287" i="7"/>
  <c r="BD279" i="2"/>
  <c r="BD279" i="3"/>
  <c r="BT279" i="3" s="1"/>
  <c r="A279" i="2" a="1"/>
  <c r="A279" i="2" s="1"/>
  <c r="D279" i="7"/>
  <c r="D297" i="7"/>
  <c r="BD297" i="2"/>
  <c r="A297" i="2" a="1"/>
  <c r="A297" i="2" s="1"/>
  <c r="BD297" i="3"/>
  <c r="BT297" i="3" s="1"/>
  <c r="BD236" i="3"/>
  <c r="BT236" i="3" s="1"/>
  <c r="A236" i="2" a="1"/>
  <c r="A236" i="2" s="1"/>
  <c r="D236" i="7"/>
  <c r="BD236" i="2"/>
  <c r="D274" i="7"/>
  <c r="A274" i="2" a="1"/>
  <c r="A274" i="2" s="1"/>
  <c r="BD274" i="2"/>
  <c r="BD274" i="3"/>
  <c r="BT274" i="3" s="1"/>
  <c r="D283" i="7"/>
  <c r="BD283" i="3"/>
  <c r="BT283" i="3" s="1"/>
  <c r="BD283" i="2"/>
  <c r="BD292" i="2"/>
  <c r="A292" i="2" a="1"/>
  <c r="A292" i="2" s="1"/>
  <c r="BD292" i="3"/>
  <c r="BT292" i="3" s="1"/>
  <c r="D292" i="7"/>
  <c r="BD202" i="2"/>
  <c r="D202" i="7"/>
  <c r="BD202" i="3"/>
  <c r="BT202" i="3" s="1"/>
  <c r="A202" i="2" a="1"/>
  <c r="A202" i="2" s="1"/>
  <c r="D245" i="7"/>
  <c r="A245" i="2" a="1"/>
  <c r="A245" i="2" s="1"/>
  <c r="BD245" i="2"/>
  <c r="BD245" i="3"/>
  <c r="BT245" i="3" s="1"/>
  <c r="D262" i="7"/>
  <c r="BD262" i="3"/>
  <c r="BT262" i="3" s="1"/>
  <c r="A262" i="2" a="1"/>
  <c r="A262" i="2" s="1"/>
  <c r="BD262" i="2"/>
  <c r="D211" i="7"/>
  <c r="BD211" i="2"/>
  <c r="BD211" i="3"/>
  <c r="BT211" i="3" s="1"/>
  <c r="D230" i="7"/>
  <c r="A230" i="2" a="1"/>
  <c r="A230" i="2" s="1"/>
  <c r="BD230" i="2"/>
  <c r="BD230" i="3"/>
  <c r="BT230" i="3" s="1"/>
  <c r="D207" i="7"/>
  <c r="A207" i="2" a="1"/>
  <c r="A207" i="2" s="1"/>
  <c r="BD207" i="2"/>
  <c r="BD207" i="3"/>
  <c r="BT207" i="3" s="1"/>
  <c r="D225" i="7"/>
  <c r="BD225" i="2"/>
  <c r="A225" i="2" a="1"/>
  <c r="A225" i="2" s="1"/>
  <c r="BD225" i="3"/>
  <c r="BT225" i="3" s="1"/>
  <c r="BD240" i="2"/>
  <c r="BD240" i="3"/>
  <c r="BT240" i="3" s="1"/>
  <c r="A240" i="2" a="1"/>
  <c r="A240" i="2" s="1"/>
  <c r="D240" i="7"/>
  <c r="D300" i="7"/>
  <c r="BD300" i="3"/>
  <c r="BT300" i="3" s="1"/>
  <c r="A300" i="2" a="1"/>
  <c r="A300" i="2" s="1"/>
  <c r="BD300" i="2"/>
  <c r="D233" i="7"/>
  <c r="BD233" i="2"/>
  <c r="A233" i="2" a="1"/>
  <c r="A233" i="2" s="1"/>
  <c r="BD233" i="3"/>
  <c r="BT233" i="3" s="1"/>
  <c r="D272" i="7"/>
  <c r="A272" i="2" a="1"/>
  <c r="A272" i="2" s="1"/>
  <c r="BD272" i="3"/>
  <c r="BT272" i="3" s="1"/>
  <c r="BD272" i="2"/>
  <c r="D289" i="7"/>
  <c r="BD289" i="2"/>
  <c r="BD289" i="3"/>
  <c r="BT289" i="3" s="1"/>
  <c r="BD204" i="3"/>
  <c r="BT204" i="3" s="1"/>
  <c r="BD204" i="2"/>
  <c r="A204" i="2" a="1"/>
  <c r="A204" i="2" s="1"/>
  <c r="D204" i="7"/>
  <c r="BD266" i="2"/>
  <c r="D266" i="7"/>
  <c r="A266" i="2" a="1"/>
  <c r="A266" i="2" s="1"/>
  <c r="BD266" i="3"/>
  <c r="BT266" i="3" s="1"/>
  <c r="BD275" i="3"/>
  <c r="BT275" i="3" s="1"/>
  <c r="BD275" i="2"/>
  <c r="D275" i="7"/>
  <c r="A275" i="2" a="1"/>
  <c r="A275" i="2" s="1"/>
  <c r="A284" i="2" a="1"/>
  <c r="A284" i="2" s="1"/>
  <c r="BD284" i="3"/>
  <c r="BT284" i="3" s="1"/>
  <c r="BD284" i="2"/>
  <c r="D284" i="7"/>
  <c r="BD301" i="2"/>
  <c r="BD301" i="3"/>
  <c r="BT301" i="3" s="1"/>
  <c r="D301" i="7"/>
  <c r="D237" i="7"/>
  <c r="A237" i="2" a="1"/>
  <c r="A237" i="2" s="1"/>
  <c r="BD237" i="2"/>
  <c r="BD237" i="3"/>
  <c r="BT237" i="3" s="1"/>
  <c r="D254" i="7"/>
  <c r="A254" i="2" a="1"/>
  <c r="A254" i="2" s="1"/>
  <c r="BD254" i="2"/>
  <c r="BD254" i="3"/>
  <c r="BT254" i="3" s="1"/>
  <c r="D203" i="7"/>
  <c r="BD203" i="3"/>
  <c r="BT203" i="3" s="1"/>
  <c r="A203" i="2" a="1"/>
  <c r="A203" i="2" s="1"/>
  <c r="BD203" i="2"/>
  <c r="D222" i="7"/>
  <c r="A222" i="2" a="1"/>
  <c r="A222" i="2" s="1"/>
  <c r="BD222" i="3"/>
  <c r="BT222" i="3" s="1"/>
  <c r="D199" i="7"/>
  <c r="BD199" i="3"/>
  <c r="BT199" i="3" s="1"/>
  <c r="BD199" i="2"/>
  <c r="D217" i="7"/>
  <c r="BD217" i="2"/>
  <c r="BD217" i="3"/>
  <c r="BT217" i="3" s="1"/>
  <c r="D291" i="7"/>
  <c r="A291" i="2" a="1"/>
  <c r="A291" i="2" s="1"/>
  <c r="BD291" i="3"/>
  <c r="BT291" i="3" s="1"/>
  <c r="BD291" i="2"/>
  <c r="BD215" i="3"/>
  <c r="BT215" i="3" s="1"/>
  <c r="D215" i="7"/>
  <c r="BD215" i="2"/>
  <c r="A215" i="2" a="1"/>
  <c r="A215" i="2" s="1"/>
  <c r="D255" i="7"/>
  <c r="BD255" i="3"/>
  <c r="BT255" i="3" s="1"/>
  <c r="A255" i="2" a="1"/>
  <c r="A255" i="2" s="1"/>
  <c r="BD255" i="2"/>
  <c r="D256" i="7"/>
  <c r="A256" i="2" a="1"/>
  <c r="A256" i="2" s="1"/>
  <c r="BD256" i="3"/>
  <c r="BT256" i="3" s="1"/>
  <c r="BD256" i="2"/>
  <c r="BD258" i="2"/>
  <c r="D258" i="7"/>
  <c r="BD258" i="3"/>
  <c r="BT258" i="3" s="1"/>
  <c r="A258" i="2" a="1"/>
  <c r="A258" i="2" s="1"/>
  <c r="D267" i="7"/>
  <c r="A267" i="2" a="1"/>
  <c r="A267" i="2" s="1"/>
  <c r="BD267" i="2"/>
  <c r="BD267" i="3"/>
  <c r="BT267" i="3" s="1"/>
  <c r="A276" i="2" a="1"/>
  <c r="A276" i="2" s="1"/>
  <c r="BD276" i="3"/>
  <c r="BT276" i="3" s="1"/>
  <c r="D276" i="7"/>
  <c r="BD276" i="2"/>
  <c r="D293" i="7"/>
  <c r="BD293" i="2"/>
  <c r="A293" i="2" a="1"/>
  <c r="A293" i="2" s="1"/>
  <c r="BD293" i="3"/>
  <c r="BT293" i="3" s="1"/>
  <c r="A220" i="2" a="1"/>
  <c r="A220" i="2" s="1"/>
  <c r="BD220" i="2"/>
  <c r="BD220" i="3"/>
  <c r="BT220" i="3" s="1"/>
  <c r="D220" i="7"/>
  <c r="D246" i="7"/>
  <c r="A246" i="2" a="1"/>
  <c r="A246" i="2" s="1"/>
  <c r="BD246" i="2"/>
  <c r="BD246" i="3"/>
  <c r="BT246" i="3" s="1"/>
  <c r="A195" i="2" a="1"/>
  <c r="A195" i="2" s="1"/>
  <c r="BD195" i="3"/>
  <c r="BT195" i="3" s="1"/>
  <c r="BD195" i="2"/>
  <c r="D214" i="7"/>
  <c r="BD214" i="2"/>
  <c r="A214" i="2" a="1"/>
  <c r="A214" i="2" s="1"/>
  <c r="BD214" i="3"/>
  <c r="BT214" i="3" s="1"/>
  <c r="D232" i="7"/>
  <c r="BD232" i="2"/>
  <c r="A232" i="2" a="1"/>
  <c r="A232" i="2" s="1"/>
  <c r="BD232" i="3"/>
  <c r="BT232" i="3" s="1"/>
  <c r="D209" i="7"/>
  <c r="A209" i="2" a="1"/>
  <c r="A209" i="2" s="1"/>
  <c r="BD209" i="3"/>
  <c r="BT209" i="3" s="1"/>
  <c r="BD209" i="2"/>
  <c r="D241" i="7"/>
  <c r="BD241" i="2"/>
  <c r="BD241" i="3"/>
  <c r="BT241" i="3" s="1"/>
  <c r="BD234" i="2"/>
  <c r="A234" i="2" a="1"/>
  <c r="A234" i="2" s="1"/>
  <c r="D234" i="7"/>
  <c r="BD234" i="3"/>
  <c r="BT234" i="3" s="1"/>
  <c r="BD197" i="2"/>
  <c r="D197" i="7"/>
  <c r="BD197" i="3"/>
  <c r="BT197" i="3" s="1"/>
  <c r="A197" i="2" a="1"/>
  <c r="A197" i="2" s="1"/>
  <c r="BD228" i="3"/>
  <c r="BT228" i="3" s="1"/>
  <c r="BD228" i="2"/>
  <c r="A228" i="2" a="1"/>
  <c r="A228" i="2" s="1"/>
  <c r="D228" i="7"/>
  <c r="BD271" i="3"/>
  <c r="BT271" i="3" s="1"/>
  <c r="BD271" i="2"/>
  <c r="D271" i="7"/>
  <c r="D281" i="7"/>
  <c r="A281" i="2" a="1"/>
  <c r="A281" i="2" s="1"/>
  <c r="BD281" i="2"/>
  <c r="BD281" i="3"/>
  <c r="BT281" i="3" s="1"/>
  <c r="D263" i="7"/>
  <c r="BD263" i="2"/>
  <c r="A263" i="2" a="1"/>
  <c r="A263" i="2" s="1"/>
  <c r="BD263" i="3"/>
  <c r="BT263" i="3" s="1"/>
  <c r="BD239" i="3"/>
  <c r="BT239" i="3" s="1"/>
  <c r="A239" i="2" a="1"/>
  <c r="A239" i="2" s="1"/>
  <c r="BD239" i="2"/>
  <c r="D239" i="7"/>
  <c r="D273" i="7"/>
  <c r="A273" i="2" a="1"/>
  <c r="A273" i="2" s="1"/>
  <c r="BD273" i="2"/>
  <c r="BD273" i="3"/>
  <c r="BT273" i="3" s="1"/>
  <c r="D248" i="7"/>
  <c r="BD248" i="2"/>
  <c r="BD248" i="3"/>
  <c r="BT248" i="3" s="1"/>
  <c r="A248" i="2" a="1"/>
  <c r="A248" i="2" s="1"/>
  <c r="BD250" i="2"/>
  <c r="BD250" i="3"/>
  <c r="BT250" i="3" s="1"/>
  <c r="A250" i="2" a="1"/>
  <c r="A250" i="2" s="1"/>
  <c r="D250" i="7"/>
  <c r="D259" i="7"/>
  <c r="BD259" i="2"/>
  <c r="BD259" i="3"/>
  <c r="BT259" i="3" s="1"/>
  <c r="D268" i="7"/>
  <c r="BD268" i="2"/>
  <c r="A268" i="2" a="1"/>
  <c r="A268" i="2" s="1"/>
  <c r="BD268" i="3"/>
  <c r="BT268" i="3" s="1"/>
  <c r="D285" i="7"/>
  <c r="A285" i="2" a="1"/>
  <c r="A285" i="2" s="1"/>
  <c r="BD285" i="2"/>
  <c r="BD285" i="3"/>
  <c r="BT285" i="3" s="1"/>
  <c r="D302" i="7"/>
  <c r="A302" i="2" a="1"/>
  <c r="A302" i="2" s="1"/>
  <c r="BD302" i="2"/>
  <c r="BD302" i="3"/>
  <c r="BT302" i="3" s="1"/>
  <c r="D238" i="7"/>
  <c r="A238" i="2" a="1"/>
  <c r="A238" i="2" s="1"/>
  <c r="BD238" i="2"/>
  <c r="BD238" i="3"/>
  <c r="BT238" i="3" s="1"/>
  <c r="D229" i="7"/>
  <c r="BD229" i="2"/>
  <c r="BD229" i="3"/>
  <c r="BT229" i="3" s="1"/>
  <c r="D206" i="7"/>
  <c r="BD206" i="2"/>
  <c r="A206" i="2" a="1"/>
  <c r="A206" i="2" s="1"/>
  <c r="BD206" i="3"/>
  <c r="BT206" i="3" s="1"/>
  <c r="D224" i="7"/>
  <c r="BD224" i="2"/>
  <c r="BD224" i="3"/>
  <c r="BT224" i="3" s="1"/>
  <c r="A224" i="2" a="1"/>
  <c r="A224" i="2" s="1"/>
  <c r="A201" i="2" a="1"/>
  <c r="A201" i="2" s="1"/>
  <c r="BD201" i="2"/>
  <c r="BD201" i="3"/>
  <c r="BT201" i="3" s="1"/>
  <c r="D288" i="7"/>
  <c r="A288" i="2" a="1"/>
  <c r="A288" i="2" s="1"/>
  <c r="BD288" i="2"/>
  <c r="BD288" i="3"/>
  <c r="BT288" i="3" s="1"/>
  <c r="D280" i="7"/>
  <c r="A280" i="2" a="1"/>
  <c r="A280" i="2" s="1"/>
  <c r="BD280" i="2"/>
  <c r="BD280" i="3"/>
  <c r="BT280" i="3" s="1"/>
  <c r="D265" i="7"/>
  <c r="BD265" i="2"/>
  <c r="BD265" i="3"/>
  <c r="BT265" i="3" s="1"/>
  <c r="BD218" i="3"/>
  <c r="BT218" i="3" s="1"/>
  <c r="BD218" i="2"/>
  <c r="D218" i="7"/>
  <c r="A218" i="2" a="1"/>
  <c r="A218" i="2" s="1"/>
  <c r="BD242" i="2"/>
  <c r="A242" i="2" a="1"/>
  <c r="A242" i="2" s="1"/>
  <c r="BD242" i="3"/>
  <c r="BT242" i="3" s="1"/>
  <c r="D242" i="7"/>
  <c r="D251" i="7"/>
  <c r="A251" i="2" a="1"/>
  <c r="A251" i="2" s="1"/>
  <c r="BD251" i="2"/>
  <c r="BD251" i="3"/>
  <c r="BT251" i="3" s="1"/>
  <c r="BD260" i="3"/>
  <c r="BT260" i="3" s="1"/>
  <c r="D260" i="7"/>
  <c r="BD260" i="2"/>
  <c r="A260" i="2" a="1"/>
  <c r="A260" i="2" s="1"/>
  <c r="D277" i="7"/>
  <c r="BD277" i="2"/>
  <c r="BD277" i="3"/>
  <c r="BT277" i="3" s="1"/>
  <c r="D294" i="7"/>
  <c r="A294" i="2" a="1"/>
  <c r="A294" i="2" s="1"/>
  <c r="BD294" i="2"/>
  <c r="BD294" i="3"/>
  <c r="BT294" i="3" s="1"/>
  <c r="D210" i="7"/>
  <c r="BD210" i="3"/>
  <c r="BT210" i="3" s="1"/>
  <c r="A210" i="2" a="1"/>
  <c r="A210" i="2" s="1"/>
  <c r="BD210" i="2"/>
  <c r="D221" i="7"/>
  <c r="BD221" i="2"/>
  <c r="A221" i="2" a="1"/>
  <c r="A221" i="2" s="1"/>
  <c r="BD221" i="3"/>
  <c r="BT221" i="3" s="1"/>
  <c r="D198" i="7"/>
  <c r="BD198" i="2"/>
  <c r="A198" i="2" a="1"/>
  <c r="A198" i="2" s="1"/>
  <c r="BD198" i="3"/>
  <c r="BT198" i="3" s="1"/>
  <c r="D216" i="7"/>
  <c r="A216" i="2" a="1"/>
  <c r="A216" i="2" s="1"/>
  <c r="BD216" i="2"/>
  <c r="BD216" i="3"/>
  <c r="BT216" i="3" s="1"/>
  <c r="BD222" i="2"/>
  <c r="A132" i="3"/>
  <c r="A132" i="7"/>
  <c r="A133" i="3"/>
  <c r="A133" i="7"/>
  <c r="A129" i="7"/>
  <c r="A129" i="3"/>
  <c r="A134" i="3"/>
  <c r="A134" i="7"/>
  <c r="A131" i="3"/>
  <c r="A131" i="7"/>
  <c r="A130" i="3"/>
  <c r="A130" i="7"/>
  <c r="A191" i="3"/>
  <c r="A191" i="7"/>
  <c r="A78" i="3"/>
  <c r="A78" i="7"/>
  <c r="A117" i="3"/>
  <c r="A117" i="7"/>
  <c r="A183" i="3"/>
  <c r="A183" i="7"/>
  <c r="A114" i="3"/>
  <c r="A114" i="7"/>
  <c r="A106" i="3"/>
  <c r="A106" i="7"/>
  <c r="A111" i="3"/>
  <c r="A111" i="7"/>
  <c r="A88" i="3"/>
  <c r="A88" i="7"/>
  <c r="A75" i="3"/>
  <c r="A75" i="7"/>
  <c r="A100" i="3"/>
  <c r="A100" i="7"/>
  <c r="A22" i="3"/>
  <c r="A22" i="7"/>
  <c r="A119" i="3"/>
  <c r="A119" i="7"/>
  <c r="A8" i="3"/>
  <c r="A8" i="7"/>
  <c r="A115" i="3"/>
  <c r="A115" i="7"/>
  <c r="A70" i="3"/>
  <c r="A70" i="7"/>
  <c r="A103" i="3"/>
  <c r="A103" i="7"/>
  <c r="A121" i="3"/>
  <c r="A121" i="7"/>
  <c r="A21" i="3"/>
  <c r="A21" i="7"/>
  <c r="A58" i="3"/>
  <c r="A58" i="7"/>
  <c r="A141" i="3"/>
  <c r="A141" i="7"/>
  <c r="A179" i="3"/>
  <c r="A179" i="7"/>
  <c r="A40" i="3"/>
  <c r="A40" i="7"/>
  <c r="A59" i="3"/>
  <c r="A59" i="7"/>
  <c r="A139" i="3"/>
  <c r="A139" i="7"/>
  <c r="A187" i="3"/>
  <c r="A187" i="7"/>
  <c r="A36" i="3"/>
  <c r="A36" i="7"/>
  <c r="A164" i="3"/>
  <c r="A164" i="7"/>
  <c r="A50" i="3"/>
  <c r="A50" i="7"/>
  <c r="A174" i="3"/>
  <c r="A174" i="7"/>
  <c r="A109" i="3"/>
  <c r="A109" i="7"/>
  <c r="A136" i="3"/>
  <c r="A136" i="7"/>
  <c r="A87" i="3"/>
  <c r="A87" i="7"/>
  <c r="A60" i="3"/>
  <c r="A60" i="7"/>
  <c r="A53" i="3"/>
  <c r="A53" i="7"/>
  <c r="A31" i="3"/>
  <c r="A31" i="7"/>
  <c r="A83" i="3"/>
  <c r="A83" i="7"/>
  <c r="A143" i="3"/>
  <c r="A143" i="7"/>
  <c r="A86" i="3"/>
  <c r="A86" i="7"/>
  <c r="A144" i="3"/>
  <c r="A144" i="7"/>
  <c r="A148" i="3"/>
  <c r="A148" i="7"/>
  <c r="A57" i="3"/>
  <c r="A57" i="7"/>
  <c r="A137" i="3"/>
  <c r="A137" i="7"/>
  <c r="A113" i="3"/>
  <c r="A113" i="7"/>
  <c r="A192" i="3"/>
  <c r="A192" i="7"/>
  <c r="A73" i="3"/>
  <c r="A73" i="7"/>
  <c r="A43" i="3"/>
  <c r="A43" i="7"/>
  <c r="A151" i="3"/>
  <c r="A151" i="7"/>
  <c r="A82" i="3"/>
  <c r="A82" i="7"/>
  <c r="A124" i="3"/>
  <c r="A124" i="7"/>
  <c r="A168" i="3"/>
  <c r="A168" i="7"/>
  <c r="A15" i="3"/>
  <c r="A15" i="7"/>
  <c r="A176" i="3"/>
  <c r="A176" i="7"/>
  <c r="A171" i="3"/>
  <c r="A171" i="7"/>
  <c r="A39" i="3"/>
  <c r="A39" i="7"/>
  <c r="A56" i="3"/>
  <c r="A56" i="7"/>
  <c r="A90" i="3"/>
  <c r="A90" i="7"/>
  <c r="A104" i="3"/>
  <c r="A104" i="7"/>
  <c r="A160" i="3"/>
  <c r="A160" i="7"/>
  <c r="A140" i="3"/>
  <c r="A140" i="7"/>
  <c r="A51" i="3"/>
  <c r="A51" i="7"/>
  <c r="A107" i="3"/>
  <c r="A107" i="7"/>
  <c r="A19" i="3"/>
  <c r="A19" i="7"/>
  <c r="A89" i="3"/>
  <c r="A89" i="7"/>
  <c r="A161" i="3"/>
  <c r="A161" i="7"/>
  <c r="A159" i="3"/>
  <c r="A159" i="7"/>
  <c r="A162" i="3"/>
  <c r="A162" i="7"/>
  <c r="A170" i="3"/>
  <c r="A170" i="7"/>
  <c r="A185" i="3"/>
  <c r="A185" i="7"/>
  <c r="A112" i="3"/>
  <c r="A112" i="7"/>
  <c r="A135" i="3"/>
  <c r="A135" i="7"/>
  <c r="A188" i="3"/>
  <c r="A188" i="7"/>
  <c r="A93" i="3"/>
  <c r="A93" i="7"/>
  <c r="A118" i="3"/>
  <c r="A118" i="7"/>
  <c r="A9" i="3"/>
  <c r="A9" i="7"/>
  <c r="A26" i="3"/>
  <c r="A26" i="7"/>
  <c r="A167" i="3"/>
  <c r="A167" i="7"/>
  <c r="A17" i="3"/>
  <c r="A17" i="7"/>
  <c r="A186" i="3"/>
  <c r="A186" i="7"/>
  <c r="A158" i="3"/>
  <c r="A158" i="7"/>
  <c r="A178" i="3"/>
  <c r="A178" i="7"/>
  <c r="A41" i="3"/>
  <c r="A41" i="7"/>
  <c r="A190" i="3"/>
  <c r="A190" i="7"/>
  <c r="A52" i="3"/>
  <c r="A52" i="7"/>
  <c r="A142" i="3"/>
  <c r="A142" i="7"/>
  <c r="A110" i="3"/>
  <c r="A110" i="7"/>
  <c r="A38" i="3"/>
  <c r="A38" i="7"/>
  <c r="A42" i="3"/>
  <c r="A42" i="7"/>
  <c r="A48" i="3"/>
  <c r="A48" i="7"/>
  <c r="A20" i="3"/>
  <c r="A20" i="7"/>
  <c r="A24" i="3"/>
  <c r="A24" i="7"/>
  <c r="A28" i="3"/>
  <c r="A28" i="7"/>
  <c r="A76" i="3"/>
  <c r="A76" i="7"/>
  <c r="A122" i="3"/>
  <c r="A122" i="7"/>
  <c r="A61" i="3"/>
  <c r="A61" i="7"/>
  <c r="A69" i="3"/>
  <c r="A69" i="7"/>
  <c r="A101" i="3"/>
  <c r="A101" i="7"/>
  <c r="A98" i="3"/>
  <c r="A98" i="7"/>
  <c r="A11" i="3"/>
  <c r="A11" i="7"/>
  <c r="A189" i="3"/>
  <c r="A189" i="7"/>
  <c r="A147" i="3"/>
  <c r="A147" i="7"/>
  <c r="A184" i="3"/>
  <c r="A184" i="7"/>
  <c r="A45" i="3"/>
  <c r="A45" i="7"/>
  <c r="A194" i="3"/>
  <c r="A194" i="7"/>
  <c r="A16" i="3"/>
  <c r="A16" i="7"/>
  <c r="A44" i="3"/>
  <c r="A44" i="7"/>
  <c r="A173" i="3"/>
  <c r="A173" i="7"/>
  <c r="A145" i="3"/>
  <c r="A145" i="7"/>
  <c r="A46" i="3"/>
  <c r="A46" i="7"/>
  <c r="A79" i="3"/>
  <c r="A79" i="7"/>
  <c r="A128" i="3"/>
  <c r="A128" i="7"/>
  <c r="A102" i="3"/>
  <c r="A102" i="7"/>
  <c r="A177" i="3"/>
  <c r="A177" i="7"/>
  <c r="A68" i="3"/>
  <c r="A68" i="7"/>
  <c r="A32" i="3"/>
  <c r="A32" i="7"/>
  <c r="A169" i="3"/>
  <c r="A169" i="7"/>
  <c r="A91" i="3"/>
  <c r="A91" i="7"/>
  <c r="A85" i="3"/>
  <c r="A85" i="7"/>
  <c r="A120" i="3"/>
  <c r="A120" i="7"/>
  <c r="A149" i="3"/>
  <c r="A149" i="7"/>
  <c r="A12" i="3"/>
  <c r="A12" i="7"/>
  <c r="A172" i="3"/>
  <c r="A172" i="7"/>
  <c r="A49" i="3"/>
  <c r="A49" i="7"/>
  <c r="A108" i="3"/>
  <c r="A108" i="7"/>
  <c r="A80" i="3"/>
  <c r="A80" i="7"/>
  <c r="A165" i="3"/>
  <c r="A165" i="7"/>
  <c r="A18" i="3"/>
  <c r="A18" i="7"/>
  <c r="A54" i="3"/>
  <c r="A54" i="7"/>
  <c r="A27" i="3"/>
  <c r="A27" i="7"/>
  <c r="A146" i="3"/>
  <c r="A146" i="7"/>
  <c r="A182" i="3"/>
  <c r="A182" i="7"/>
  <c r="A77" i="3"/>
  <c r="A77" i="7"/>
  <c r="A84" i="3"/>
  <c r="A84" i="7"/>
  <c r="A150" i="3"/>
  <c r="A150" i="7"/>
  <c r="A116" i="3"/>
  <c r="A116" i="7"/>
  <c r="A74" i="3"/>
  <c r="A74" i="7"/>
  <c r="A13" i="3"/>
  <c r="A13" i="7"/>
  <c r="A163" i="3"/>
  <c r="A163" i="7"/>
  <c r="A156" i="3"/>
  <c r="A156" i="7"/>
  <c r="A180" i="3"/>
  <c r="A180" i="7"/>
  <c r="A92" i="3"/>
  <c r="A92" i="7"/>
  <c r="A105" i="3"/>
  <c r="A105" i="7"/>
  <c r="A152" i="3"/>
  <c r="A152" i="7"/>
  <c r="A29" i="3"/>
  <c r="A29" i="7"/>
  <c r="A71" i="3"/>
  <c r="A71" i="7"/>
  <c r="A23" i="3"/>
  <c r="A23" i="7"/>
  <c r="A14" i="3"/>
  <c r="A14" i="7"/>
  <c r="A25" i="3"/>
  <c r="A25" i="7"/>
  <c r="A55" i="3"/>
  <c r="A55" i="7"/>
  <c r="A62" i="3"/>
  <c r="A62" i="7"/>
  <c r="A10" i="3"/>
  <c r="A10" i="7"/>
  <c r="A72" i="3"/>
  <c r="A72" i="7"/>
  <c r="A99" i="3"/>
  <c r="A99" i="7"/>
  <c r="A47" i="3"/>
  <c r="A47" i="7"/>
  <c r="A166" i="3"/>
  <c r="A166" i="7"/>
  <c r="A81" i="3"/>
  <c r="A81" i="7"/>
  <c r="A138" i="3"/>
  <c r="A138" i="7"/>
  <c r="A30" i="3"/>
  <c r="A30" i="7"/>
  <c r="BU153" i="3"/>
  <c r="BT135" i="3"/>
  <c r="BU183" i="3"/>
  <c r="BU93" i="3"/>
  <c r="E93" i="7" s="1"/>
  <c r="BT147" i="3"/>
  <c r="A95" i="2" a="1"/>
  <c r="A95" i="2" s="1"/>
  <c r="CA15" i="3" a="1"/>
  <c r="CA15" i="3" s="1"/>
  <c r="K15" i="7" s="1"/>
  <c r="K3" i="7"/>
  <c r="A153" i="2" a="1"/>
  <c r="A153" i="2" s="1"/>
  <c r="CA9" i="3" a="1"/>
  <c r="CA9" i="3" s="1"/>
  <c r="A33" i="2" a="1"/>
  <c r="A33" i="2" s="1"/>
  <c r="A33" i="7" s="1"/>
  <c r="A125" i="2" a="1"/>
  <c r="A125" i="2" s="1"/>
  <c r="A125" i="7" s="1"/>
  <c r="A96" i="2" a="1"/>
  <c r="A96" i="2" s="1"/>
  <c r="A96" i="7" s="1"/>
  <c r="A34" i="2" a="1"/>
  <c r="A34" i="2" s="1"/>
  <c r="A126" i="2" a="1"/>
  <c r="A126" i="2" s="1"/>
  <c r="A97" i="2" a="1"/>
  <c r="A97" i="2" s="1"/>
  <c r="A123" i="2" a="1"/>
  <c r="A123" i="2" s="1"/>
  <c r="A35" i="2" a="1"/>
  <c r="A35" i="2" s="1"/>
  <c r="A37" i="2" a="1"/>
  <c r="A37" i="2" s="1"/>
  <c r="A37" i="7" s="1"/>
  <c r="A154" i="2" a="1"/>
  <c r="A154" i="2" s="1"/>
  <c r="A127" i="2" a="1"/>
  <c r="A127" i="2" s="1"/>
  <c r="A127" i="7" s="1"/>
  <c r="A155" i="2" a="1"/>
  <c r="A155" i="2" s="1"/>
  <c r="A155" i="7" s="1"/>
  <c r="A94" i="2" a="1"/>
  <c r="A94" i="2" s="1"/>
  <c r="A157" i="2" a="1"/>
  <c r="A157" i="2" s="1"/>
  <c r="CC9" i="3" a="1"/>
  <c r="CC9" i="3" s="1"/>
  <c r="BD3" i="2"/>
  <c r="BI303" i="3"/>
  <c r="BF303" i="3"/>
  <c r="F303" i="3" s="1"/>
  <c r="BG303" i="3"/>
  <c r="BE303" i="3"/>
  <c r="BH303" i="3"/>
  <c r="BJ303" i="3"/>
  <c r="BK57" i="3"/>
  <c r="K81" i="2"/>
  <c r="K27" i="2"/>
  <c r="CC3" i="3" a="1"/>
  <c r="CC3" i="3" s="1"/>
  <c r="K3" i="2"/>
  <c r="K147" i="2"/>
  <c r="K63" i="2"/>
  <c r="K69" i="2"/>
  <c r="K111" i="2"/>
  <c r="K135" i="2"/>
  <c r="K177" i="2"/>
  <c r="A181" i="2" s="1" a="1"/>
  <c r="A181" i="2" s="1"/>
  <c r="K171" i="2"/>
  <c r="A175" i="2" s="1" a="1"/>
  <c r="A175" i="2" s="1"/>
  <c r="K117" i="2"/>
  <c r="K45" i="2"/>
  <c r="K129" i="2"/>
  <c r="D303" i="2"/>
  <c r="K255" i="2"/>
  <c r="A259" i="2" s="1" a="1"/>
  <c r="A259" i="2" s="1"/>
  <c r="K195" i="2"/>
  <c r="A199" i="2" s="1" a="1"/>
  <c r="A199" i="2" s="1"/>
  <c r="K267" i="2"/>
  <c r="A271" i="2" s="1" a="1"/>
  <c r="A271" i="2" s="1"/>
  <c r="K225" i="2"/>
  <c r="A229" i="2" s="1" a="1"/>
  <c r="A229" i="2" s="1"/>
  <c r="K231" i="2"/>
  <c r="A235" i="2" s="1" a="1"/>
  <c r="A235" i="2" s="1"/>
  <c r="K213" i="2"/>
  <c r="A217" i="2" s="1" a="1"/>
  <c r="A217" i="2" s="1"/>
  <c r="K237" i="2"/>
  <c r="A241" i="2" s="1" a="1"/>
  <c r="A241" i="2" s="1"/>
  <c r="K285" i="2"/>
  <c r="A289" i="2" s="1" a="1"/>
  <c r="A289" i="2" s="1"/>
  <c r="K207" i="2"/>
  <c r="A211" i="2" s="1" a="1"/>
  <c r="A211" i="2" s="1"/>
  <c r="K261" i="2"/>
  <c r="A265" i="2" s="1" a="1"/>
  <c r="A265" i="2" s="1"/>
  <c r="K279" i="2"/>
  <c r="A283" i="2" s="1" a="1"/>
  <c r="A283" i="2" s="1"/>
  <c r="K189" i="2"/>
  <c r="A193" i="2" s="1" a="1"/>
  <c r="A193" i="2" s="1"/>
  <c r="K249" i="2"/>
  <c r="A253" i="2" s="1" a="1"/>
  <c r="A253" i="2" s="1"/>
  <c r="K201" i="2"/>
  <c r="A205" i="2" s="1" a="1"/>
  <c r="A205" i="2" s="1"/>
  <c r="K243" i="2"/>
  <c r="A247" i="2" s="1" a="1"/>
  <c r="A247" i="2" s="1"/>
  <c r="K297" i="2"/>
  <c r="A301" i="2" s="1" a="1"/>
  <c r="A301" i="2" s="1"/>
  <c r="K219" i="2"/>
  <c r="A223" i="2" s="1" a="1"/>
  <c r="A223" i="2" s="1"/>
  <c r="K291" i="2"/>
  <c r="A295" i="2" s="1" a="1"/>
  <c r="A295" i="2" s="1"/>
  <c r="K273" i="2"/>
  <c r="A277" i="2" s="1" a="1"/>
  <c r="A277" i="2" s="1"/>
  <c r="BK51" i="3"/>
  <c r="BK183" i="3"/>
  <c r="BK159" i="3"/>
  <c r="BK3" i="3"/>
  <c r="BK75" i="3"/>
  <c r="BK105" i="3"/>
  <c r="BK87" i="3"/>
  <c r="BK135" i="3"/>
  <c r="BK165" i="3"/>
  <c r="BK21" i="3"/>
  <c r="CB21" i="3"/>
  <c r="BK123" i="3"/>
  <c r="BK15" i="3"/>
  <c r="BE3" i="2" a="1"/>
  <c r="BE3" i="2" s="1"/>
  <c r="BK27" i="3"/>
  <c r="BK153" i="3"/>
  <c r="BK39" i="3"/>
  <c r="CB39" i="3"/>
  <c r="BK9" i="3"/>
  <c r="BK141" i="3"/>
  <c r="BK93" i="3"/>
  <c r="BK99" i="3"/>
  <c r="BK33" i="3"/>
  <c r="I3" i="7" l="1"/>
  <c r="D135" i="7"/>
  <c r="H123" i="7"/>
  <c r="H129" i="7"/>
  <c r="H81" i="7"/>
  <c r="H117" i="7"/>
  <c r="D201" i="7"/>
  <c r="D195" i="7"/>
  <c r="F33" i="7"/>
  <c r="E75" i="7"/>
  <c r="E123" i="7"/>
  <c r="I21" i="7"/>
  <c r="E111" i="7"/>
  <c r="D99" i="7"/>
  <c r="D189" i="7"/>
  <c r="D153" i="7"/>
  <c r="F10" i="7"/>
  <c r="F165" i="7"/>
  <c r="F129" i="7"/>
  <c r="I81" i="7"/>
  <c r="E129" i="7"/>
  <c r="F183" i="7"/>
  <c r="I117" i="7"/>
  <c r="E81" i="7"/>
  <c r="E165" i="7"/>
  <c r="E87" i="7"/>
  <c r="F81" i="7"/>
  <c r="G45" i="7"/>
  <c r="G33" i="7"/>
  <c r="D171" i="7"/>
  <c r="I93" i="7"/>
  <c r="D111" i="7"/>
  <c r="F159" i="7"/>
  <c r="I129" i="7"/>
  <c r="H159" i="7"/>
  <c r="D129" i="7"/>
  <c r="H93" i="7"/>
  <c r="H15" i="7"/>
  <c r="H51" i="7"/>
  <c r="F69" i="7"/>
  <c r="E27" i="7"/>
  <c r="H183" i="7"/>
  <c r="E195" i="7"/>
  <c r="I27" i="7"/>
  <c r="H135" i="7"/>
  <c r="G153" i="7"/>
  <c r="E183" i="7"/>
  <c r="I75" i="7"/>
  <c r="E3" i="7"/>
  <c r="F99" i="7"/>
  <c r="D147" i="7"/>
  <c r="H3" i="7"/>
  <c r="H33" i="7"/>
  <c r="H75" i="7"/>
  <c r="I105" i="7"/>
  <c r="H165" i="7"/>
  <c r="E51" i="7"/>
  <c r="F147" i="7"/>
  <c r="E39" i="7"/>
  <c r="E117" i="7"/>
  <c r="H45" i="7"/>
  <c r="I57" i="7"/>
  <c r="F189" i="7"/>
  <c r="I135" i="7"/>
  <c r="H201" i="7"/>
  <c r="H10" i="7"/>
  <c r="D3" i="7"/>
  <c r="I195" i="7"/>
  <c r="D57" i="7"/>
  <c r="H153" i="7"/>
  <c r="G135" i="7"/>
  <c r="I33" i="7"/>
  <c r="E63" i="7"/>
  <c r="F51" i="7"/>
  <c r="D69" i="7"/>
  <c r="F135" i="7"/>
  <c r="D93" i="7"/>
  <c r="H171" i="7"/>
  <c r="F87" i="7"/>
  <c r="E15" i="7"/>
  <c r="H21" i="7"/>
  <c r="I51" i="7"/>
  <c r="I63" i="7"/>
  <c r="D177" i="7"/>
  <c r="E147" i="7"/>
  <c r="H57" i="7"/>
  <c r="I99" i="7"/>
  <c r="F39" i="7"/>
  <c r="G111" i="7"/>
  <c r="G21" i="7"/>
  <c r="I201" i="7"/>
  <c r="D183" i="7"/>
  <c r="F177" i="7"/>
  <c r="I111" i="7"/>
  <c r="F45" i="7"/>
  <c r="H99" i="7"/>
  <c r="I147" i="7"/>
  <c r="D165" i="7"/>
  <c r="E105" i="7"/>
  <c r="I39" i="7"/>
  <c r="F105" i="7"/>
  <c r="F153" i="7"/>
  <c r="I159" i="7"/>
  <c r="H63" i="7"/>
  <c r="E21" i="7"/>
  <c r="G27" i="7"/>
  <c r="H69" i="7"/>
  <c r="I189" i="7"/>
  <c r="E99" i="7"/>
  <c r="E69" i="7"/>
  <c r="F117" i="7"/>
  <c r="I171" i="7"/>
  <c r="D117" i="7"/>
  <c r="I45" i="7"/>
  <c r="G165" i="7"/>
  <c r="G57" i="7"/>
  <c r="E153" i="7"/>
  <c r="G3" i="7"/>
  <c r="G75" i="7"/>
  <c r="F123" i="7"/>
  <c r="I69" i="7"/>
  <c r="F111" i="7"/>
  <c r="D159" i="7"/>
  <c r="F21" i="7"/>
  <c r="H111" i="7"/>
  <c r="H105" i="7"/>
  <c r="F57" i="7"/>
  <c r="D18" i="13"/>
  <c r="D17" i="13"/>
  <c r="D20" i="13"/>
  <c r="E27" i="13" s="1"/>
  <c r="D19" i="13"/>
  <c r="D27" i="13" s="1"/>
  <c r="H147" i="7"/>
  <c r="F201" i="7"/>
  <c r="F15" i="7"/>
  <c r="D63" i="7"/>
  <c r="F171" i="7"/>
  <c r="I15" i="7"/>
  <c r="H27" i="7"/>
  <c r="E135" i="7"/>
  <c r="G15" i="7"/>
  <c r="G69" i="7"/>
  <c r="E189" i="7"/>
  <c r="F27" i="7"/>
  <c r="E33" i="7"/>
  <c r="I123" i="7"/>
  <c r="E57" i="7"/>
  <c r="D51" i="7"/>
  <c r="H189" i="7"/>
  <c r="H39" i="7"/>
  <c r="D27" i="7"/>
  <c r="D81" i="7"/>
  <c r="F93" i="7"/>
  <c r="F195" i="7"/>
  <c r="D105" i="7"/>
  <c r="H195" i="7"/>
  <c r="E10" i="7"/>
  <c r="D87" i="7"/>
  <c r="F63" i="7"/>
  <c r="I87" i="7"/>
  <c r="I165" i="7"/>
  <c r="H87" i="7"/>
  <c r="G10" i="7"/>
  <c r="G105" i="7"/>
  <c r="BV303" i="3"/>
  <c r="F3" i="7"/>
  <c r="K141" i="7"/>
  <c r="L141" i="7" s="1"/>
  <c r="K123" i="7"/>
  <c r="K75" i="7"/>
  <c r="K33" i="7"/>
  <c r="CB33" i="3"/>
  <c r="G303" i="3"/>
  <c r="BW303" i="3"/>
  <c r="BY303" i="3"/>
  <c r="I303" i="3" s="1"/>
  <c r="J303" i="3"/>
  <c r="BT303" i="3"/>
  <c r="A224" i="7"/>
  <c r="A224" i="3"/>
  <c r="A268" i="3"/>
  <c r="A268" i="7"/>
  <c r="A273" i="3"/>
  <c r="A273" i="7"/>
  <c r="A215" i="3"/>
  <c r="A215" i="7"/>
  <c r="A233" i="3"/>
  <c r="A233" i="7"/>
  <c r="A240" i="3"/>
  <c r="A240" i="7"/>
  <c r="A245" i="3"/>
  <c r="A245" i="7"/>
  <c r="A292" i="3"/>
  <c r="A292" i="7"/>
  <c r="A278" i="3"/>
  <c r="A278" i="7"/>
  <c r="A249" i="7"/>
  <c r="A249" i="3"/>
  <c r="A286" i="3"/>
  <c r="A286" i="7"/>
  <c r="A270" i="3"/>
  <c r="A270" i="7"/>
  <c r="A260" i="3"/>
  <c r="A260" i="7"/>
  <c r="A302" i="3"/>
  <c r="A302" i="7"/>
  <c r="A214" i="3"/>
  <c r="A214" i="7"/>
  <c r="A293" i="3"/>
  <c r="A293" i="7"/>
  <c r="A266" i="3"/>
  <c r="A266" i="7"/>
  <c r="A207" i="3"/>
  <c r="A207" i="7"/>
  <c r="A198" i="3"/>
  <c r="A198" i="7"/>
  <c r="A210" i="3"/>
  <c r="A210" i="7"/>
  <c r="A251" i="3"/>
  <c r="A251" i="7"/>
  <c r="A250" i="3"/>
  <c r="A250" i="7"/>
  <c r="A263" i="3"/>
  <c r="A263" i="7"/>
  <c r="A220" i="3"/>
  <c r="A220" i="7"/>
  <c r="A276" i="3"/>
  <c r="A276" i="7"/>
  <c r="A222" i="3"/>
  <c r="A222" i="7"/>
  <c r="A254" i="3"/>
  <c r="A254" i="7"/>
  <c r="A274" i="3"/>
  <c r="A274" i="7"/>
  <c r="A287" i="3"/>
  <c r="A287" i="7"/>
  <c r="A282" i="3"/>
  <c r="A282" i="7"/>
  <c r="A208" i="3"/>
  <c r="A208" i="7"/>
  <c r="A288" i="7"/>
  <c r="A288" i="3"/>
  <c r="A248" i="3"/>
  <c r="A248" i="7"/>
  <c r="A228" i="3"/>
  <c r="A228" i="7"/>
  <c r="A209" i="3"/>
  <c r="A209" i="7"/>
  <c r="A246" i="3"/>
  <c r="A246" i="7"/>
  <c r="A267" i="3"/>
  <c r="A267" i="7"/>
  <c r="A256" i="7"/>
  <c r="A256" i="3"/>
  <c r="A203" i="3"/>
  <c r="A203" i="7"/>
  <c r="A202" i="3"/>
  <c r="A202" i="7"/>
  <c r="A279" i="3"/>
  <c r="A279" i="7"/>
  <c r="A219" i="3"/>
  <c r="A219" i="7"/>
  <c r="A244" i="3"/>
  <c r="A244" i="7"/>
  <c r="A299" i="3"/>
  <c r="A299" i="7"/>
  <c r="A296" i="7"/>
  <c r="A296" i="3"/>
  <c r="A269" i="3"/>
  <c r="A269" i="7"/>
  <c r="A243" i="3"/>
  <c r="A243" i="7"/>
  <c r="A298" i="3"/>
  <c r="A298" i="7"/>
  <c r="A221" i="3"/>
  <c r="A221" i="7"/>
  <c r="A242" i="3"/>
  <c r="A242" i="7"/>
  <c r="A234" i="3"/>
  <c r="A234" i="7"/>
  <c r="A237" i="3"/>
  <c r="A237" i="7"/>
  <c r="A284" i="3"/>
  <c r="A284" i="7"/>
  <c r="A262" i="3"/>
  <c r="A262" i="7"/>
  <c r="A236" i="3"/>
  <c r="A236" i="7"/>
  <c r="A200" i="7"/>
  <c r="A200" i="3"/>
  <c r="A261" i="3"/>
  <c r="A261" i="7"/>
  <c r="A212" i="3"/>
  <c r="A212" i="7"/>
  <c r="A264" i="7"/>
  <c r="A264" i="3"/>
  <c r="A231" i="3"/>
  <c r="A231" i="7"/>
  <c r="A216" i="3"/>
  <c r="A216" i="7"/>
  <c r="A294" i="3"/>
  <c r="A294" i="7"/>
  <c r="A239" i="3"/>
  <c r="A239" i="7"/>
  <c r="A281" i="7"/>
  <c r="A281" i="3"/>
  <c r="A258" i="3"/>
  <c r="A258" i="7"/>
  <c r="A275" i="3"/>
  <c r="A275" i="7"/>
  <c r="A300" i="3"/>
  <c r="A300" i="7"/>
  <c r="A225" i="7"/>
  <c r="A225" i="3"/>
  <c r="A227" i="3"/>
  <c r="A227" i="7"/>
  <c r="A218" i="3"/>
  <c r="A218" i="7"/>
  <c r="A206" i="3"/>
  <c r="A206" i="7"/>
  <c r="A238" i="3"/>
  <c r="A238" i="7"/>
  <c r="A285" i="3"/>
  <c r="A285" i="7"/>
  <c r="A197" i="3"/>
  <c r="A197" i="7"/>
  <c r="A232" i="7"/>
  <c r="A232" i="3"/>
  <c r="A255" i="3"/>
  <c r="A255" i="7"/>
  <c r="A204" i="3"/>
  <c r="A204" i="7"/>
  <c r="A272" i="3"/>
  <c r="A272" i="7"/>
  <c r="A230" i="3"/>
  <c r="A230" i="7"/>
  <c r="A290" i="3"/>
  <c r="A290" i="7"/>
  <c r="A252" i="3"/>
  <c r="A252" i="7"/>
  <c r="A226" i="3"/>
  <c r="A226" i="7"/>
  <c r="A257" i="7"/>
  <c r="A257" i="3"/>
  <c r="A280" i="3"/>
  <c r="A280" i="7"/>
  <c r="A201" i="3"/>
  <c r="A201" i="7"/>
  <c r="A195" i="3"/>
  <c r="A195" i="7"/>
  <c r="A291" i="3"/>
  <c r="A291" i="7"/>
  <c r="A297" i="3"/>
  <c r="A297" i="7"/>
  <c r="A213" i="3"/>
  <c r="A213" i="7"/>
  <c r="A196" i="3"/>
  <c r="A196" i="7"/>
  <c r="A247" i="3"/>
  <c r="A247" i="7"/>
  <c r="A241" i="3"/>
  <c r="A241" i="7"/>
  <c r="A301" i="3"/>
  <c r="A301" i="7"/>
  <c r="A289" i="7"/>
  <c r="A289" i="3"/>
  <c r="A205" i="3"/>
  <c r="A205" i="7"/>
  <c r="A217" i="7"/>
  <c r="A217" i="3"/>
  <c r="A253" i="3"/>
  <c r="A253" i="7"/>
  <c r="A235" i="3"/>
  <c r="A235" i="7"/>
  <c r="A229" i="3"/>
  <c r="A229" i="7"/>
  <c r="A277" i="3"/>
  <c r="A277" i="7"/>
  <c r="A283" i="3"/>
  <c r="A283" i="7"/>
  <c r="A271" i="3"/>
  <c r="A271" i="7"/>
  <c r="A295" i="3"/>
  <c r="A295" i="7"/>
  <c r="A265" i="3"/>
  <c r="A265" i="7"/>
  <c r="A199" i="3"/>
  <c r="A199" i="7"/>
  <c r="A223" i="3"/>
  <c r="A223" i="7"/>
  <c r="A211" i="3"/>
  <c r="A211" i="7"/>
  <c r="A259" i="3"/>
  <c r="A259" i="7"/>
  <c r="A94" i="3"/>
  <c r="A94" i="7"/>
  <c r="A126" i="3"/>
  <c r="A126" i="7"/>
  <c r="A181" i="3"/>
  <c r="A181" i="7"/>
  <c r="A34" i="3"/>
  <c r="A34" i="7"/>
  <c r="A95" i="3"/>
  <c r="A95" i="7"/>
  <c r="A157" i="3"/>
  <c r="A157" i="7"/>
  <c r="A175" i="3"/>
  <c r="A175" i="7"/>
  <c r="A154" i="3"/>
  <c r="A154" i="7"/>
  <c r="BU303" i="3"/>
  <c r="E303" i="3" s="1"/>
  <c r="A97" i="3"/>
  <c r="A97" i="7"/>
  <c r="A193" i="3"/>
  <c r="A193" i="7"/>
  <c r="A35" i="3"/>
  <c r="A35" i="7"/>
  <c r="A123" i="3"/>
  <c r="A123" i="7"/>
  <c r="A153" i="3"/>
  <c r="A153" i="7"/>
  <c r="A155" i="3"/>
  <c r="A127" i="3"/>
  <c r="A96" i="3"/>
  <c r="A125" i="3"/>
  <c r="A37" i="3"/>
  <c r="A33" i="3"/>
  <c r="CB15" i="3"/>
  <c r="CB3" i="3"/>
  <c r="CA303" i="3"/>
  <c r="K9" i="7"/>
  <c r="CB9" i="3"/>
  <c r="A6" i="2" a="1"/>
  <c r="A6" i="2" s="1"/>
  <c r="A6" i="7" s="1"/>
  <c r="A5" i="2" a="1"/>
  <c r="A5" i="2" s="1"/>
  <c r="A5" i="7" s="1"/>
  <c r="A4" i="2" a="1"/>
  <c r="A4" i="2" s="1"/>
  <c r="A7" i="2" a="1"/>
  <c r="A7" i="2" s="1"/>
  <c r="A65" i="2" a="1"/>
  <c r="A65" i="2" s="1"/>
  <c r="A65" i="7" s="1"/>
  <c r="A66" i="2" a="1"/>
  <c r="A66" i="2" s="1"/>
  <c r="A63" i="2" a="1"/>
  <c r="A63" i="2" s="1"/>
  <c r="A67" i="2" a="1"/>
  <c r="A67" i="2" s="1"/>
  <c r="A67" i="7" s="1"/>
  <c r="A64" i="2" a="1"/>
  <c r="A64" i="2" s="1"/>
  <c r="K303" i="2"/>
  <c r="K350" i="2" s="1"/>
  <c r="BX303" i="3"/>
  <c r="H303" i="3" s="1"/>
  <c r="CB57" i="3"/>
  <c r="L57" i="3" s="1" a="1"/>
  <c r="L57" i="3" s="1"/>
  <c r="BD303" i="3"/>
  <c r="BK303" i="3" s="1"/>
  <c r="BK63" i="3"/>
  <c r="BK69" i="3"/>
  <c r="BK177" i="3"/>
  <c r="BK81" i="3"/>
  <c r="CB45" i="3"/>
  <c r="A3" i="2" a="1"/>
  <c r="A3" i="2" s="1"/>
  <c r="A3" i="7" s="1"/>
  <c r="BK147" i="3"/>
  <c r="BK111" i="3"/>
  <c r="BK117" i="3"/>
  <c r="BK129" i="3"/>
  <c r="L273" i="7"/>
  <c r="L297" i="7"/>
  <c r="L207" i="7"/>
  <c r="L261" i="7"/>
  <c r="BK171" i="3"/>
  <c r="BK45" i="3"/>
  <c r="L291" i="7"/>
  <c r="CB219" i="3"/>
  <c r="BK219" i="3"/>
  <c r="BK279" i="3"/>
  <c r="CB279" i="3"/>
  <c r="BK267" i="3"/>
  <c r="CB267" i="3"/>
  <c r="L219" i="7"/>
  <c r="BK189" i="3"/>
  <c r="L237" i="7"/>
  <c r="L267" i="7"/>
  <c r="CB297" i="3"/>
  <c r="BK297" i="3"/>
  <c r="L243" i="7"/>
  <c r="CB207" i="3"/>
  <c r="BK207" i="3"/>
  <c r="BK231" i="3"/>
  <c r="CB231" i="3"/>
  <c r="CB243" i="3"/>
  <c r="BK243" i="3"/>
  <c r="L231" i="7"/>
  <c r="BK249" i="3"/>
  <c r="CB249" i="3"/>
  <c r="BK237" i="3"/>
  <c r="CB237" i="3"/>
  <c r="CB195" i="3"/>
  <c r="BK195" i="3"/>
  <c r="CB201" i="3"/>
  <c r="BK201" i="3"/>
  <c r="L249" i="7"/>
  <c r="CB285" i="3"/>
  <c r="BK285" i="3"/>
  <c r="CB255" i="3"/>
  <c r="BK255" i="3"/>
  <c r="CB273" i="3"/>
  <c r="BK273" i="3"/>
  <c r="BK261" i="3"/>
  <c r="CB261" i="3"/>
  <c r="CB213" i="3"/>
  <c r="BK213" i="3"/>
  <c r="CB225" i="3"/>
  <c r="BK225" i="3"/>
  <c r="L255" i="7"/>
  <c r="BK291" i="3"/>
  <c r="CB291" i="3"/>
  <c r="L279" i="7"/>
  <c r="L285" i="7"/>
  <c r="L213" i="7"/>
  <c r="L225" i="7"/>
  <c r="L39" i="3" a="1"/>
  <c r="L39" i="3" s="1"/>
  <c r="L21" i="3" a="1"/>
  <c r="L21" i="3" s="1"/>
  <c r="CB171" i="3"/>
  <c r="CB111" i="3"/>
  <c r="CB177" i="3"/>
  <c r="CB147" i="3"/>
  <c r="CB27" i="3"/>
  <c r="CB99" i="3"/>
  <c r="CB93" i="3"/>
  <c r="L93" i="3" s="1" a="1"/>
  <c r="L93" i="3" s="1"/>
  <c r="CB129" i="3"/>
  <c r="CB165" i="3"/>
  <c r="CB135" i="3"/>
  <c r="CB87" i="3"/>
  <c r="CB117" i="3"/>
  <c r="CB69" i="3"/>
  <c r="CB153" i="3"/>
  <c r="CB81" i="3"/>
  <c r="CB123" i="3"/>
  <c r="CB51" i="3"/>
  <c r="CB141" i="3"/>
  <c r="CB105" i="3"/>
  <c r="L105" i="3" s="1" a="1"/>
  <c r="L105" i="3" s="1"/>
  <c r="CB75" i="3"/>
  <c r="CB159" i="3"/>
  <c r="CB183" i="3"/>
  <c r="L183" i="3" s="1" a="1"/>
  <c r="L183" i="3" s="1"/>
  <c r="J315" i="7" l="1"/>
  <c r="D32" i="13"/>
  <c r="K320" i="7"/>
  <c r="E32" i="13"/>
  <c r="L129" i="7"/>
  <c r="L177" i="7"/>
  <c r="L183" i="7"/>
  <c r="L51" i="7"/>
  <c r="G309" i="7"/>
  <c r="D307" i="7"/>
  <c r="L159" i="7"/>
  <c r="L87" i="7"/>
  <c r="L147" i="7"/>
  <c r="L57" i="7"/>
  <c r="L45" i="7"/>
  <c r="L201" i="7"/>
  <c r="G321" i="7"/>
  <c r="I309" i="7"/>
  <c r="D309" i="7"/>
  <c r="K315" i="7"/>
  <c r="E307" i="7"/>
  <c r="J307" i="7"/>
  <c r="H309" i="7"/>
  <c r="E309" i="7"/>
  <c r="F313" i="7"/>
  <c r="K309" i="7"/>
  <c r="I307" i="7"/>
  <c r="K313" i="7"/>
  <c r="F309" i="7"/>
  <c r="K308" i="7"/>
  <c r="H315" i="7"/>
  <c r="K307" i="7"/>
  <c r="G315" i="7"/>
  <c r="K321" i="7"/>
  <c r="J309" i="7"/>
  <c r="G307" i="7"/>
  <c r="E321" i="7"/>
  <c r="L105" i="7"/>
  <c r="K314" i="7"/>
  <c r="H313" i="7"/>
  <c r="F321" i="7"/>
  <c r="D321" i="7"/>
  <c r="L27" i="7"/>
  <c r="L117" i="7"/>
  <c r="G303" i="7"/>
  <c r="J321" i="7"/>
  <c r="F315" i="7"/>
  <c r="F319" i="7"/>
  <c r="H307" i="7"/>
  <c r="E313" i="7"/>
  <c r="I315" i="7"/>
  <c r="I313" i="7"/>
  <c r="E303" i="7"/>
  <c r="I320" i="7"/>
  <c r="G319" i="7"/>
  <c r="J313" i="7"/>
  <c r="D315" i="7"/>
  <c r="E319" i="7"/>
  <c r="L93" i="7"/>
  <c r="D313" i="7"/>
  <c r="E315" i="7"/>
  <c r="L171" i="7"/>
  <c r="L63" i="7"/>
  <c r="L99" i="7"/>
  <c r="I303" i="7"/>
  <c r="L135" i="7"/>
  <c r="L69" i="7"/>
  <c r="L111" i="7"/>
  <c r="L81" i="7"/>
  <c r="L153" i="7"/>
  <c r="L195" i="7"/>
  <c r="L165" i="7"/>
  <c r="L33" i="7"/>
  <c r="K319" i="7"/>
  <c r="G313" i="7"/>
  <c r="F307" i="7"/>
  <c r="L75" i="7"/>
  <c r="L15" i="7"/>
  <c r="L123" i="7"/>
  <c r="I321" i="7"/>
  <c r="E320" i="7"/>
  <c r="F320" i="7"/>
  <c r="J314" i="7"/>
  <c r="E314" i="7"/>
  <c r="G314" i="7"/>
  <c r="D308" i="7"/>
  <c r="I314" i="7"/>
  <c r="G308" i="7"/>
  <c r="H308" i="7"/>
  <c r="H310" i="7" s="1"/>
  <c r="F308" i="7"/>
  <c r="D314" i="7"/>
  <c r="H314" i="7"/>
  <c r="I308" i="7"/>
  <c r="F314" i="7"/>
  <c r="J308" i="7"/>
  <c r="E308" i="7"/>
  <c r="L39" i="7"/>
  <c r="G320" i="7"/>
  <c r="H319" i="7"/>
  <c r="D319" i="7"/>
  <c r="I319" i="7"/>
  <c r="J320" i="7"/>
  <c r="J319" i="7"/>
  <c r="H320" i="7"/>
  <c r="D320" i="7"/>
  <c r="F303" i="7"/>
  <c r="L21" i="7"/>
  <c r="H321" i="7"/>
  <c r="L33" i="3" a="1"/>
  <c r="L33" i="3" s="1"/>
  <c r="L123" i="3" a="1"/>
  <c r="L123" i="3" s="1"/>
  <c r="A64" i="3"/>
  <c r="A64" i="7"/>
  <c r="A63" i="3"/>
  <c r="A63" i="7"/>
  <c r="A66" i="3"/>
  <c r="A66" i="7"/>
  <c r="A7" i="3"/>
  <c r="A7" i="7"/>
  <c r="A4" i="3"/>
  <c r="A4" i="7"/>
  <c r="A65" i="3"/>
  <c r="A5" i="3"/>
  <c r="A6" i="3"/>
  <c r="A67" i="3"/>
  <c r="L9" i="3" a="1"/>
  <c r="L9" i="3" s="1"/>
  <c r="L15" i="3" a="1"/>
  <c r="L15" i="3" s="1"/>
  <c r="H303" i="7"/>
  <c r="K303" i="7"/>
  <c r="L9" i="7"/>
  <c r="L81" i="3" a="1"/>
  <c r="L81" i="3" s="1"/>
  <c r="A3" i="3"/>
  <c r="L3" i="3" s="1" a="1"/>
  <c r="L3" i="3" s="1"/>
  <c r="CB63" i="3"/>
  <c r="L27" i="3" a="1"/>
  <c r="L27" i="3" s="1"/>
  <c r="L177" i="3" a="1"/>
  <c r="L177" i="3" s="1"/>
  <c r="L69" i="3" a="1"/>
  <c r="L69" i="3" s="1"/>
  <c r="L135" i="3" a="1"/>
  <c r="L135" i="3" s="1"/>
  <c r="L147" i="3" a="1"/>
  <c r="L147" i="3" s="1"/>
  <c r="D303" i="3"/>
  <c r="L279" i="3" a="1"/>
  <c r="L279" i="3" s="1"/>
  <c r="L207" i="3" a="1"/>
  <c r="L207" i="3" s="1"/>
  <c r="L219" i="3" a="1"/>
  <c r="L219" i="3" s="1"/>
  <c r="CB189" i="3"/>
  <c r="L189" i="3" s="1" a="1"/>
  <c r="L189" i="3" s="1"/>
  <c r="L189" i="7"/>
  <c r="L171" i="3" a="1"/>
  <c r="L171" i="3" s="1"/>
  <c r="L117" i="3" a="1"/>
  <c r="L117" i="3" s="1"/>
  <c r="L45" i="3" a="1"/>
  <c r="L45" i="3" s="1"/>
  <c r="L285" i="3" a="1"/>
  <c r="L285" i="3" s="1"/>
  <c r="L213" i="3" a="1"/>
  <c r="L213" i="3" s="1"/>
  <c r="L243" i="3" a="1"/>
  <c r="L243" i="3" s="1"/>
  <c r="L261" i="3" a="1"/>
  <c r="L261" i="3" s="1"/>
  <c r="L291" i="3" a="1"/>
  <c r="L291" i="3" s="1"/>
  <c r="L231" i="3" a="1"/>
  <c r="L231" i="3" s="1"/>
  <c r="L201" i="3" a="1"/>
  <c r="L201" i="3" s="1"/>
  <c r="L267" i="3" a="1"/>
  <c r="L267" i="3" s="1"/>
  <c r="L195" i="3" a="1"/>
  <c r="L195" i="3" s="1"/>
  <c r="L225" i="3" a="1"/>
  <c r="L225" i="3" s="1"/>
  <c r="L297" i="3" a="1"/>
  <c r="L297" i="3" s="1"/>
  <c r="L273" i="3" a="1"/>
  <c r="L273" i="3" s="1"/>
  <c r="L237" i="3" a="1"/>
  <c r="L237" i="3" s="1"/>
  <c r="L249" i="3" a="1"/>
  <c r="L249" i="3" s="1"/>
  <c r="L255" i="3" a="1"/>
  <c r="L255" i="3" s="1"/>
  <c r="L111" i="3" a="1"/>
  <c r="L111" i="3" s="1"/>
  <c r="L99" i="3" a="1"/>
  <c r="L99" i="3" s="1"/>
  <c r="L153" i="3" a="1"/>
  <c r="L153" i="3" s="1"/>
  <c r="L87" i="3" a="1"/>
  <c r="L87" i="3" s="1"/>
  <c r="L165" i="3" a="1"/>
  <c r="L165" i="3" s="1"/>
  <c r="L51" i="3" a="1"/>
  <c r="L51" i="3" s="1"/>
  <c r="L129" i="3" a="1"/>
  <c r="L129" i="3" s="1"/>
  <c r="L75" i="3" a="1"/>
  <c r="L75" i="3" s="1"/>
  <c r="L159" i="3" a="1"/>
  <c r="L159" i="3" s="1"/>
  <c r="L3" i="7"/>
  <c r="CB303" i="3"/>
  <c r="L141" i="3" a="1"/>
  <c r="L141" i="3" s="1"/>
  <c r="G310" i="7" l="1"/>
  <c r="E310" i="7"/>
  <c r="I310" i="7"/>
  <c r="K316" i="7"/>
  <c r="F322" i="7"/>
  <c r="K310" i="7"/>
  <c r="L309" i="7"/>
  <c r="K322" i="7"/>
  <c r="L307" i="7"/>
  <c r="L313" i="7"/>
  <c r="I316" i="7"/>
  <c r="J310" i="7"/>
  <c r="H316" i="7"/>
  <c r="G322" i="7"/>
  <c r="E322" i="7"/>
  <c r="D316" i="7"/>
  <c r="J316" i="7"/>
  <c r="L315" i="7"/>
  <c r="L321" i="7"/>
  <c r="E316" i="7"/>
  <c r="F310" i="7"/>
  <c r="G316" i="7"/>
  <c r="D322" i="7"/>
  <c r="L320" i="7"/>
  <c r="L314" i="7"/>
  <c r="I322" i="7"/>
  <c r="J322" i="7"/>
  <c r="L308" i="7"/>
  <c r="H322" i="7"/>
  <c r="D310" i="7"/>
  <c r="L319" i="7"/>
  <c r="F316" i="7"/>
  <c r="L63" i="3" a="1"/>
  <c r="L63" i="3" s="1"/>
  <c r="D303" i="7"/>
  <c r="L303" i="7" s="1"/>
  <c r="F48" i="6"/>
  <c r="F50" i="6"/>
  <c r="F47" i="6"/>
  <c r="F49" i="6"/>
  <c r="F51" i="6"/>
  <c r="L303" i="3" l="1"/>
  <c r="L447" i="3" s="1"/>
  <c r="L310" i="7"/>
  <c r="D24" i="14" s="1"/>
  <c r="L316" i="7"/>
  <c r="D26" i="14" s="1"/>
  <c r="L322" i="7"/>
  <c r="D28" i="14" s="1"/>
  <c r="L445" i="7"/>
  <c r="D22" i="14"/>
  <c r="F52" i="6"/>
  <c r="D34"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<sst xmlns="http://schemas.openxmlformats.org/spreadsheetml/2006/main" count="4727" uniqueCount="764">
  <si>
    <t>Locatie</t>
  </si>
  <si>
    <t>Categorie</t>
  </si>
  <si>
    <t>Frequentie</t>
  </si>
  <si>
    <t>ALK-ARS</t>
  </si>
  <si>
    <t>1.01</t>
  </si>
  <si>
    <t>Spreek/behandelruimte</t>
  </si>
  <si>
    <t>Linoleum</t>
  </si>
  <si>
    <t>1.02</t>
  </si>
  <si>
    <t>1.03</t>
  </si>
  <si>
    <t>1.04</t>
  </si>
  <si>
    <t>1.05</t>
  </si>
  <si>
    <t>1.06</t>
  </si>
  <si>
    <t>Pauzeruimte</t>
  </si>
  <si>
    <t>1.07</t>
  </si>
  <si>
    <t>Opslagruimte</t>
  </si>
  <si>
    <t>1.08</t>
  </si>
  <si>
    <t>Toiletruimte</t>
  </si>
  <si>
    <t>Tegels</t>
  </si>
  <si>
    <t>1.09</t>
  </si>
  <si>
    <t>Wachtruimte</t>
  </si>
  <si>
    <t>1.10</t>
  </si>
  <si>
    <t>Berging</t>
  </si>
  <si>
    <t>1.11</t>
  </si>
  <si>
    <t>1.12</t>
  </si>
  <si>
    <t>Boxenruimte</t>
  </si>
  <si>
    <t>1.13</t>
  </si>
  <si>
    <t>Kantoor</t>
  </si>
  <si>
    <t>1.14</t>
  </si>
  <si>
    <t>1.15</t>
  </si>
  <si>
    <t>Archiefruimte</t>
  </si>
  <si>
    <t>1.16</t>
  </si>
  <si>
    <t>Reproruimte</t>
  </si>
  <si>
    <t>ALK-DIK</t>
  </si>
  <si>
    <t>GC-0.19</t>
  </si>
  <si>
    <t>Vergaderruimte</t>
  </si>
  <si>
    <t>Pantry</t>
  </si>
  <si>
    <t>ALK-HAW</t>
  </si>
  <si>
    <t>Entree</t>
  </si>
  <si>
    <t>Inloopmat</t>
  </si>
  <si>
    <t>Tapijt</t>
  </si>
  <si>
    <t>Balie</t>
  </si>
  <si>
    <t>Gang</t>
  </si>
  <si>
    <t>Sure step</t>
  </si>
  <si>
    <t>werkkast</t>
  </si>
  <si>
    <t>2.14</t>
  </si>
  <si>
    <t>Trappenhuis</t>
  </si>
  <si>
    <t xml:space="preserve">Printer/locker ruimte/garderobe </t>
  </si>
  <si>
    <t>Kantine</t>
  </si>
  <si>
    <t>2.23</t>
  </si>
  <si>
    <t>2.25</t>
  </si>
  <si>
    <t>2.26</t>
  </si>
  <si>
    <t>2.24</t>
  </si>
  <si>
    <t>2.22</t>
  </si>
  <si>
    <t>2.20</t>
  </si>
  <si>
    <t>2.19</t>
  </si>
  <si>
    <t>2.21</t>
  </si>
  <si>
    <t>2.28</t>
  </si>
  <si>
    <t>2.27/2.29</t>
  </si>
  <si>
    <t xml:space="preserve">2.30 </t>
  </si>
  <si>
    <t>2.32</t>
  </si>
  <si>
    <t>0.01</t>
  </si>
  <si>
    <t>ALK-MWS</t>
  </si>
  <si>
    <t>0.02</t>
  </si>
  <si>
    <t>Parket</t>
  </si>
  <si>
    <t>0.03</t>
  </si>
  <si>
    <t>0.04</t>
  </si>
  <si>
    <t>0.05</t>
  </si>
  <si>
    <t>0.06</t>
  </si>
  <si>
    <t>0.07</t>
  </si>
  <si>
    <t>0.09</t>
  </si>
  <si>
    <t>0.09a</t>
  </si>
  <si>
    <t>0.12</t>
  </si>
  <si>
    <t>0.08</t>
  </si>
  <si>
    <t>0.11</t>
  </si>
  <si>
    <t>0.13</t>
  </si>
  <si>
    <t>0.18</t>
  </si>
  <si>
    <t>0.14</t>
  </si>
  <si>
    <t>0.15</t>
  </si>
  <si>
    <t>0.17</t>
  </si>
  <si>
    <t>0.16</t>
  </si>
  <si>
    <t>Technische ruimte</t>
  </si>
  <si>
    <t>0.19</t>
  </si>
  <si>
    <t>0.20</t>
  </si>
  <si>
    <t>0.21</t>
  </si>
  <si>
    <t>0.22</t>
  </si>
  <si>
    <t>0.26</t>
  </si>
  <si>
    <t>0.25</t>
  </si>
  <si>
    <t>0.24</t>
  </si>
  <si>
    <t>Werkkast</t>
  </si>
  <si>
    <t>0.23</t>
  </si>
  <si>
    <t>Toiletruimte mindervaliden</t>
  </si>
  <si>
    <t>0.28</t>
  </si>
  <si>
    <t>0.29</t>
  </si>
  <si>
    <t>ALK-VAS</t>
  </si>
  <si>
    <t>Hal</t>
  </si>
  <si>
    <t>0.10</t>
  </si>
  <si>
    <t>Beton</t>
  </si>
  <si>
    <t>Fietsenstalling</t>
  </si>
  <si>
    <t>ALK-ZEV</t>
  </si>
  <si>
    <t>ANP-DVW</t>
  </si>
  <si>
    <t>GC-0.12</t>
  </si>
  <si>
    <t>GC-0.13</t>
  </si>
  <si>
    <t>GC-0.14</t>
  </si>
  <si>
    <t>GC-0.16</t>
  </si>
  <si>
    <t>GC-0.17</t>
  </si>
  <si>
    <t>GC-0.18</t>
  </si>
  <si>
    <t>GC-</t>
  </si>
  <si>
    <t>BKS-RTH</t>
  </si>
  <si>
    <t>CST-GDW</t>
  </si>
  <si>
    <t>1.04a</t>
  </si>
  <si>
    <t>berging</t>
  </si>
  <si>
    <t>1.10b</t>
  </si>
  <si>
    <t>kantoor</t>
  </si>
  <si>
    <t>DHE-BPL</t>
  </si>
  <si>
    <t>G1.01/G1.02</t>
  </si>
  <si>
    <t>G1.03</t>
  </si>
  <si>
    <t>G1.04</t>
  </si>
  <si>
    <t>G1.05</t>
  </si>
  <si>
    <t>G1.06</t>
  </si>
  <si>
    <t>G1.07</t>
  </si>
  <si>
    <t>G1.08</t>
  </si>
  <si>
    <t>G1.09</t>
  </si>
  <si>
    <t>G1.10</t>
  </si>
  <si>
    <t>G1.11</t>
  </si>
  <si>
    <t>G1.12</t>
  </si>
  <si>
    <t>G1.13</t>
  </si>
  <si>
    <t>G1.14</t>
  </si>
  <si>
    <t>G1.15</t>
  </si>
  <si>
    <t>DHE-TSL</t>
  </si>
  <si>
    <t>ENK-WWL</t>
  </si>
  <si>
    <t>2.12</t>
  </si>
  <si>
    <t>2.19a</t>
  </si>
  <si>
    <t>2.30</t>
  </si>
  <si>
    <t>2.12a</t>
  </si>
  <si>
    <t>GRF-JPL</t>
  </si>
  <si>
    <t>HHW-PRH</t>
  </si>
  <si>
    <t>tegels</t>
  </si>
  <si>
    <t>tapijt</t>
  </si>
  <si>
    <t>0.23a</t>
  </si>
  <si>
    <t>Raadskamer</t>
  </si>
  <si>
    <t>Toilet Raadskamer</t>
  </si>
  <si>
    <t>HKS-ODN</t>
  </si>
  <si>
    <t>HLO-HLW</t>
  </si>
  <si>
    <t>Voorruimte</t>
  </si>
  <si>
    <t>0.02a</t>
  </si>
  <si>
    <t>0.02b</t>
  </si>
  <si>
    <t>0.02c</t>
  </si>
  <si>
    <t>HRN-MSS</t>
  </si>
  <si>
    <t>0.27</t>
  </si>
  <si>
    <t>0.30</t>
  </si>
  <si>
    <t>0.31</t>
  </si>
  <si>
    <t>0.32</t>
  </si>
  <si>
    <t>0.33</t>
  </si>
  <si>
    <t>0.34</t>
  </si>
  <si>
    <t>0.35</t>
  </si>
  <si>
    <t>0.36</t>
  </si>
  <si>
    <t>0.37</t>
  </si>
  <si>
    <t>0.38</t>
  </si>
  <si>
    <t>0.39</t>
  </si>
  <si>
    <t>JUL-MDZ</t>
  </si>
  <si>
    <t>MDB-SMH</t>
  </si>
  <si>
    <t>MDM-POS</t>
  </si>
  <si>
    <t>hal</t>
  </si>
  <si>
    <t>0.11a</t>
  </si>
  <si>
    <t>0.11b</t>
  </si>
  <si>
    <t>0.15a</t>
  </si>
  <si>
    <t>N.V.T.</t>
  </si>
  <si>
    <t>OBD-LMS</t>
  </si>
  <si>
    <t>0.19a</t>
  </si>
  <si>
    <t>0.19b</t>
  </si>
  <si>
    <t>SCH-ZDW</t>
  </si>
  <si>
    <t>SPB-PMS</t>
  </si>
  <si>
    <t>0.70</t>
  </si>
  <si>
    <t>0.71</t>
  </si>
  <si>
    <t>0.72</t>
  </si>
  <si>
    <t>0.73</t>
  </si>
  <si>
    <t>0.41</t>
  </si>
  <si>
    <t>0.74</t>
  </si>
  <si>
    <t>VHU-TWV</t>
  </si>
  <si>
    <t>WGN-CFL</t>
  </si>
  <si>
    <t>WRM-DBK</t>
  </si>
  <si>
    <t>WRV-OLW</t>
  </si>
  <si>
    <t>Alkmaar</t>
  </si>
  <si>
    <t>Arubastraat 2</t>
  </si>
  <si>
    <t>1825 PV</t>
  </si>
  <si>
    <t>De Dijk 15</t>
  </si>
  <si>
    <t>1811 MB</t>
  </si>
  <si>
    <t>Hertog Aalbrechtweg 18</t>
  </si>
  <si>
    <t>1823 DL</t>
  </si>
  <si>
    <t>Hertog Aalbrechtweg 5</t>
  </si>
  <si>
    <t>Merwedestraat 4</t>
  </si>
  <si>
    <t>1823 VK</t>
  </si>
  <si>
    <t>Van Alphenstraat 9</t>
  </si>
  <si>
    <t>1813 KG</t>
  </si>
  <si>
    <t>Zevenhuizen 10</t>
  </si>
  <si>
    <t>1811 KB</t>
  </si>
  <si>
    <t>De Verwachting 9</t>
  </si>
  <si>
    <t>1761 VM</t>
  </si>
  <si>
    <t>Anna Paulowna</t>
  </si>
  <si>
    <t>Rigtershof 33</t>
  </si>
  <si>
    <t>1613 SJ</t>
  </si>
  <si>
    <t>Bovenkarspel</t>
  </si>
  <si>
    <t>Geesterduinweg 5</t>
  </si>
  <si>
    <t>1902 CB</t>
  </si>
  <si>
    <t>Castricum</t>
  </si>
  <si>
    <t>1781 HK</t>
  </si>
  <si>
    <t>Den Helder</t>
  </si>
  <si>
    <t>Texelstroomlaan 5</t>
  </si>
  <si>
    <t>1784 EA</t>
  </si>
  <si>
    <t>Wielewaal 7</t>
  </si>
  <si>
    <t>1602 PV</t>
  </si>
  <si>
    <t>Enkhuizen</t>
  </si>
  <si>
    <t>Jan Ploegerlaan 1D</t>
  </si>
  <si>
    <t>1483 VR</t>
  </si>
  <si>
    <t>De Rijp</t>
  </si>
  <si>
    <t>Parelhof 1</t>
  </si>
  <si>
    <t>1702 EZ</t>
  </si>
  <si>
    <t>Heerhugowaard</t>
  </si>
  <si>
    <t>Om de Noord 29a</t>
  </si>
  <si>
    <t>1616 PR</t>
  </si>
  <si>
    <t>Hoogkarspel</t>
  </si>
  <si>
    <t>Holleweg 94</t>
  </si>
  <si>
    <t>1851 KK</t>
  </si>
  <si>
    <t>Heiloo</t>
  </si>
  <si>
    <t>Maelsonstraat 11</t>
  </si>
  <si>
    <t>1624 NP</t>
  </si>
  <si>
    <t>Hoorn</t>
  </si>
  <si>
    <t>Middelzand 3503/3504</t>
  </si>
  <si>
    <t>1788 ES</t>
  </si>
  <si>
    <t>Julianadorp</t>
  </si>
  <si>
    <t>Sint Maartenshof 36F</t>
  </si>
  <si>
    <t>1671 CR</t>
  </si>
  <si>
    <t>Medemblik</t>
  </si>
  <si>
    <t>Poststraat 16</t>
  </si>
  <si>
    <t>1775 AW</t>
  </si>
  <si>
    <t>Middenmeer</t>
  </si>
  <si>
    <t>Dr. Lohmanstraat 21C</t>
  </si>
  <si>
    <t>1713 TG</t>
  </si>
  <si>
    <t>Obdam</t>
  </si>
  <si>
    <t>Zuiderweg 25</t>
  </si>
  <si>
    <t>1741 NA</t>
  </si>
  <si>
    <t>Schagen</t>
  </si>
  <si>
    <t>Pastoor Meriusstraat 4</t>
  </si>
  <si>
    <t>1715 VA</t>
  </si>
  <si>
    <t>Opmeer</t>
  </si>
  <si>
    <t>Twijver 66B</t>
  </si>
  <si>
    <t>1606 BW</t>
  </si>
  <si>
    <t>Venhuizen</t>
  </si>
  <si>
    <t>Conferencelaan 21</t>
  </si>
  <si>
    <t>1687 RA</t>
  </si>
  <si>
    <t>Doorbraak 24</t>
  </si>
  <si>
    <t>1749 AM</t>
  </si>
  <si>
    <t>Warmenhuizen</t>
  </si>
  <si>
    <t>Olympia 141A</t>
  </si>
  <si>
    <t>1693 EK</t>
  </si>
  <si>
    <t>Wervershoof</t>
  </si>
  <si>
    <t>ALK-H18</t>
  </si>
  <si>
    <t>NND-DMT</t>
  </si>
  <si>
    <t>De Meet 5</t>
  </si>
  <si>
    <t>1733 AZ</t>
  </si>
  <si>
    <t>Nieuwe Niedorp</t>
  </si>
  <si>
    <t>ZSW-BGR</t>
  </si>
  <si>
    <t>Bosgroet 6</t>
  </si>
  <si>
    <t>1722 KA</t>
  </si>
  <si>
    <t>Zuid Scharwoude</t>
  </si>
  <si>
    <t>1a</t>
  </si>
  <si>
    <t>1b</t>
  </si>
  <si>
    <t>1c</t>
  </si>
  <si>
    <t>PVC</t>
  </si>
  <si>
    <t xml:space="preserve">Berging </t>
  </si>
  <si>
    <t>Werkkast CSU</t>
  </si>
  <si>
    <t>Toiletgroep</t>
  </si>
  <si>
    <t>Lifthal</t>
  </si>
  <si>
    <t>pvc</t>
  </si>
  <si>
    <t>Boxen- en wachtruimte</t>
  </si>
  <si>
    <t>Toilet</t>
  </si>
  <si>
    <t>Vaccinkast</t>
  </si>
  <si>
    <t>Kantoor GGD</t>
  </si>
  <si>
    <t>Bergruimte</t>
  </si>
  <si>
    <t>5.01</t>
  </si>
  <si>
    <t>5.02</t>
  </si>
  <si>
    <t>5.03</t>
  </si>
  <si>
    <t>5.04</t>
  </si>
  <si>
    <t>5.05</t>
  </si>
  <si>
    <t>5.06</t>
  </si>
  <si>
    <t>5.07</t>
  </si>
  <si>
    <t>5.08</t>
  </si>
  <si>
    <t>5.09</t>
  </si>
  <si>
    <t>5.10</t>
  </si>
  <si>
    <t>6.01</t>
  </si>
  <si>
    <t>6.02</t>
  </si>
  <si>
    <t>6.03</t>
  </si>
  <si>
    <t>6.04</t>
  </si>
  <si>
    <t>6.05</t>
  </si>
  <si>
    <t>6.06</t>
  </si>
  <si>
    <t>6.07</t>
  </si>
  <si>
    <t>6.08</t>
  </si>
  <si>
    <t>6.09</t>
  </si>
  <si>
    <t>6.10</t>
  </si>
  <si>
    <t>6.11</t>
  </si>
  <si>
    <t>Oppervlakte</t>
  </si>
  <si>
    <t>Begane grond</t>
  </si>
  <si>
    <t>Eerste etage</t>
  </si>
  <si>
    <t>Tweede etage</t>
  </si>
  <si>
    <t>Derde etage</t>
  </si>
  <si>
    <t>Vijfde etage</t>
  </si>
  <si>
    <t>Zesde etage</t>
  </si>
  <si>
    <t>Kantoorruimte</t>
  </si>
  <si>
    <t>Restauratief</t>
  </si>
  <si>
    <t>Trainingsruimte</t>
  </si>
  <si>
    <t>Representatief</t>
  </si>
  <si>
    <t>Sanitaire ruimte</t>
  </si>
  <si>
    <t>Verkeersruimte</t>
  </si>
  <si>
    <t>Totaal</t>
  </si>
  <si>
    <t>0,101- OGGZ</t>
  </si>
  <si>
    <t>0,102- OGGZ</t>
  </si>
  <si>
    <t>0,103- OGGZ</t>
  </si>
  <si>
    <t>0,104- OGGZ</t>
  </si>
  <si>
    <t>0,105- OGGZ</t>
  </si>
  <si>
    <t>0,106- OGGZ</t>
  </si>
  <si>
    <t>0,107- OGGZ</t>
  </si>
  <si>
    <t>0,108- OGGZ</t>
  </si>
  <si>
    <t>CHECK!</t>
  </si>
  <si>
    <t>Is totaal bovenstaande tabel + de ruimtes met nul freq. Gelijk aan Inventarisatie</t>
  </si>
  <si>
    <t>Locatiecode</t>
  </si>
  <si>
    <t>Straatnaam</t>
  </si>
  <si>
    <t>Postcode</t>
  </si>
  <si>
    <t>Plaats</t>
  </si>
  <si>
    <t>Type locatie</t>
  </si>
  <si>
    <t>Minimale uren per dag</t>
  </si>
  <si>
    <t>Totaalstaat schoon te maken m2 per jaar</t>
  </si>
  <si>
    <t>Totaalstaat schoonmaak uren per jaar</t>
  </si>
  <si>
    <t>Gemiddelde Norm</t>
  </si>
  <si>
    <t>JGZ</t>
  </si>
  <si>
    <t>OGGZ</t>
  </si>
  <si>
    <t>VT, AGZ, SG, RAV, IZB</t>
  </si>
  <si>
    <t>Prostitutiezorg</t>
  </si>
  <si>
    <t>JGZ &amp; OGGZ</t>
  </si>
  <si>
    <t>Bernhardplein 76F/G</t>
  </si>
  <si>
    <t>JGZ, OGGZ, SG, RAV, AGZ, IZB</t>
  </si>
  <si>
    <t>Coronakantoor</t>
  </si>
  <si>
    <t>SG</t>
  </si>
  <si>
    <t>Seks en gezondheid</t>
  </si>
  <si>
    <t>RAV</t>
  </si>
  <si>
    <t>Regionale Ambulance Voorziening</t>
  </si>
  <si>
    <t>AGZ</t>
  </si>
  <si>
    <t>IZB</t>
  </si>
  <si>
    <t>Algemene gezondheidszorg</t>
  </si>
  <si>
    <t>Openbare Geestelijke Gezondheidszorg</t>
  </si>
  <si>
    <t>Infectieziektebestrijding</t>
  </si>
  <si>
    <t>Jeugdgezondheidszorg (Consultatiebureau)</t>
  </si>
  <si>
    <t>Uurlonen</t>
  </si>
  <si>
    <t>Productieve uren
Lngrp 1 - 4 dienstjr</t>
  </si>
  <si>
    <t>Meewerkend toezicht</t>
  </si>
  <si>
    <t>Regietarief</t>
  </si>
  <si>
    <t>Specialist t.b.v. Vloeronderhoud</t>
  </si>
  <si>
    <t>Basisuurloon</t>
  </si>
  <si>
    <t xml:space="preserve">Vakantietoeslag </t>
  </si>
  <si>
    <t/>
  </si>
  <si>
    <t>Bruto uurloon inclusief toeslagen</t>
  </si>
  <si>
    <t>SV-loon grondslag voor berekening sociale verzekeringen</t>
  </si>
  <si>
    <t>Premies Sociale Verzekeringen</t>
  </si>
  <si>
    <t>Subtotaal loonkosten per uur inclusief sociale verzekeringen</t>
  </si>
  <si>
    <t>Opslag niet werkbare dagen</t>
  </si>
  <si>
    <t>Totaal loonkosten per uur</t>
  </si>
  <si>
    <t>Materiaal/- en middelen</t>
  </si>
  <si>
    <t>Afvalzakken</t>
  </si>
  <si>
    <t>Werkkleding en uitrusting</t>
  </si>
  <si>
    <t>Machinekosten</t>
  </si>
  <si>
    <t>Totaal directe kosten</t>
  </si>
  <si>
    <t>Toezicht</t>
  </si>
  <si>
    <t>Managementkosten</t>
  </si>
  <si>
    <t>P.Z. kosten</t>
  </si>
  <si>
    <t>Opleiding</t>
  </si>
  <si>
    <t>Administratiekosten</t>
  </si>
  <si>
    <t>Huisvestingskosten</t>
  </si>
  <si>
    <t>Reiskosten/autokosten</t>
  </si>
  <si>
    <t>Kosten verzuimbegeleiding</t>
  </si>
  <si>
    <t>Totaal indirecte kosten</t>
  </si>
  <si>
    <t>Risico en winst</t>
  </si>
  <si>
    <t>Totaal uurtarief (excl btw)</t>
  </si>
  <si>
    <t>Calculatie tarief:</t>
  </si>
  <si>
    <t>Percentage in opbouw</t>
  </si>
  <si>
    <t>Uurtarief</t>
  </si>
  <si>
    <t>Uren per jaar:</t>
  </si>
  <si>
    <t>Totaal calculatietarief</t>
  </si>
  <si>
    <t>Aanvulling naar taak</t>
  </si>
  <si>
    <t>Totaal schoonmaakkosten</t>
  </si>
  <si>
    <t>Handeling</t>
  </si>
  <si>
    <t>Prijs per m²/uur per beurt</t>
  </si>
  <si>
    <t>Prijs per m²/ stuk per beurt</t>
  </si>
  <si>
    <t>Schrobben harde vloeren</t>
  </si>
  <si>
    <t>Reinigen horizontale lamellen</t>
  </si>
  <si>
    <t xml:space="preserve">    1 - 500 m²</t>
  </si>
  <si>
    <t xml:space="preserve">    1 - 100 m</t>
  </si>
  <si>
    <t>501 - 1.000 m²</t>
  </si>
  <si>
    <t>101 - 500 m</t>
  </si>
  <si>
    <t xml:space="preserve">1.001 m² en meer </t>
  </si>
  <si>
    <t xml:space="preserve">501 m en meer </t>
  </si>
  <si>
    <t>Sprayen/opwrijven exclusief in- en uitruimen</t>
  </si>
  <si>
    <t>Sprayen/opwrijven inclusief in- en uitruimen</t>
  </si>
  <si>
    <t>Reinigen bureaustoelen</t>
  </si>
  <si>
    <t xml:space="preserve">    1 - 25</t>
  </si>
  <si>
    <t>25 - 100</t>
  </si>
  <si>
    <t>101 en meer</t>
  </si>
  <si>
    <t>Strippen/conserveren inclusief in- en uitruimen</t>
  </si>
  <si>
    <t>Tapijtreinigen (Sproei-extractiemethode)</t>
  </si>
  <si>
    <t>Glasbewassing</t>
  </si>
  <si>
    <t>Tapijtreinigen (droge methode / host)</t>
  </si>
  <si>
    <t>Gevelglas buitenzijde</t>
  </si>
  <si>
    <t>Gevelglas binnenzijde</t>
  </si>
  <si>
    <t>Separatieglas</t>
  </si>
  <si>
    <t>Overige gevel</t>
  </si>
  <si>
    <t>Diverse uurtarieven</t>
  </si>
  <si>
    <t>Divers overig</t>
  </si>
  <si>
    <t>Regiewerkzaamheden</t>
  </si>
  <si>
    <t>Bouwschoonmaak (per uur)</t>
  </si>
  <si>
    <t>Regiewerkzaamheden specialist</t>
  </si>
  <si>
    <t>Gevelereiniging (per uur)</t>
  </si>
  <si>
    <t>Grafitti verwijderen (per uur)</t>
  </si>
  <si>
    <t>Kosten glazenwassen</t>
  </si>
  <si>
    <t>M2</t>
  </si>
  <si>
    <t>Aantal beurten per jaar</t>
  </si>
  <si>
    <t>Kosten per beurt</t>
  </si>
  <si>
    <t>Type bereikbaarheidsvoorziening</t>
  </si>
  <si>
    <t>Kosten bereikbaarheids-voorzieningen</t>
  </si>
  <si>
    <t>Regie / staffelprijzen GGD Hollands Noorden</t>
  </si>
  <si>
    <t>ledigen en zonodig zakverwisselen</t>
  </si>
  <si>
    <t>stof en vlekverwijderen</t>
  </si>
  <si>
    <t xml:space="preserve">geheel reinigen </t>
  </si>
  <si>
    <t>Behandel-/onderzoektafel</t>
  </si>
  <si>
    <t>geheel reininigen</t>
  </si>
  <si>
    <t>Bureau/tafel/balie</t>
  </si>
  <si>
    <t>verticale vlakken vlekverwijderen</t>
  </si>
  <si>
    <t>Deur (glas-) en omlijsting</t>
  </si>
  <si>
    <t>vlekken verwijderen</t>
  </si>
  <si>
    <t xml:space="preserve">Kapstok, garderoberek </t>
  </si>
  <si>
    <t>Kast hoog</t>
  </si>
  <si>
    <t xml:space="preserve">Kast hoog </t>
  </si>
  <si>
    <t>bovenzijde reinigen</t>
  </si>
  <si>
    <t>Kast laag</t>
  </si>
  <si>
    <t>reinigen</t>
  </si>
  <si>
    <t>Luchtrooster (plafond)</t>
  </si>
  <si>
    <t xml:space="preserve">reinigen </t>
  </si>
  <si>
    <t xml:space="preserve">Separatieglas </t>
  </si>
  <si>
    <t>Spinrag</t>
  </si>
  <si>
    <t>verwijderen</t>
  </si>
  <si>
    <t>Telefoon (geheel excl. toetsen)</t>
  </si>
  <si>
    <t xml:space="preserve">Vensterbank </t>
  </si>
  <si>
    <t>Verlichtingsarmatuur (bureau / wand)</t>
  </si>
  <si>
    <t>Verwarmingselement</t>
  </si>
  <si>
    <t>Element</t>
  </si>
  <si>
    <t>geheel reinigen</t>
  </si>
  <si>
    <t xml:space="preserve">Bedieningspaneel </t>
  </si>
  <si>
    <t>Drankenautomaat</t>
  </si>
  <si>
    <t>Geleidegoot / liftgoot</t>
  </si>
  <si>
    <t>uitvegen / stofzuigen</t>
  </si>
  <si>
    <t>Plafond (lift)</t>
  </si>
  <si>
    <t>Spiegel</t>
  </si>
  <si>
    <t>Wanden (lift / afwasbaar)</t>
  </si>
  <si>
    <t>vlekken en vingertasten verwijderen</t>
  </si>
  <si>
    <t>geheel reinigen (ontkalken)</t>
  </si>
  <si>
    <t>Aanrechtblok</t>
  </si>
  <si>
    <t>blad en verticale vlakken afnemen</t>
  </si>
  <si>
    <t>geheel reinigen / ontkalken</t>
  </si>
  <si>
    <t>ontkalken</t>
  </si>
  <si>
    <t>Sanitair benodigdheden</t>
  </si>
  <si>
    <t>controleren en indien nodig bijvullen</t>
  </si>
  <si>
    <t>Wanden (afwasbaar)</t>
  </si>
  <si>
    <t>Bank</t>
  </si>
  <si>
    <t>los vuil verwijderen en afnemen</t>
  </si>
  <si>
    <t>Borstelhouder</t>
  </si>
  <si>
    <t>vlekverwijderen</t>
  </si>
  <si>
    <t>Doorspoelinstallatie</t>
  </si>
  <si>
    <t>Gordijnrail</t>
  </si>
  <si>
    <t>Locker</t>
  </si>
  <si>
    <t>Luchtrooster</t>
  </si>
  <si>
    <t>Planchet</t>
  </si>
  <si>
    <t>Putten</t>
  </si>
  <si>
    <t>reinigen, bijvullen</t>
  </si>
  <si>
    <t>Toiletpot/urinoir</t>
  </si>
  <si>
    <t>Verlichtingsarmatuur</t>
  </si>
  <si>
    <t>wissen</t>
  </si>
  <si>
    <t>moppen</t>
  </si>
  <si>
    <t>schrobben</t>
  </si>
  <si>
    <t>Brandblusvoorziening(-kast)</t>
  </si>
  <si>
    <t>Sanitaire dispensers</t>
  </si>
  <si>
    <t>Schakelaar/contacten</t>
  </si>
  <si>
    <t>Aankleedtafel/commode</t>
  </si>
  <si>
    <t>Aankleedkussen</t>
  </si>
  <si>
    <t>geheel klamvochtig reinigen</t>
  </si>
  <si>
    <t>geheel natreinigen</t>
  </si>
  <si>
    <t>Box</t>
  </si>
  <si>
    <t>Boxkleed</t>
  </si>
  <si>
    <t>Afval-/luier-/papierbak</t>
  </si>
  <si>
    <t>Stoel / bank</t>
  </si>
  <si>
    <t>stof, losvuil en vlekverwijderen</t>
  </si>
  <si>
    <t>geheel reinigen / stofzuigen</t>
  </si>
  <si>
    <t>geheel afnemen</t>
  </si>
  <si>
    <t>stof verwijderen</t>
  </si>
  <si>
    <t>Plan-/whiteboard</t>
  </si>
  <si>
    <t>Randen, richels, plinten en leidingen</t>
  </si>
  <si>
    <t>Basisfrequentie</t>
  </si>
  <si>
    <t>prikhal-buiten</t>
  </si>
  <si>
    <t>prikhal</t>
  </si>
  <si>
    <t>verbindingshal-buiten</t>
  </si>
  <si>
    <t>verbindingshal</t>
  </si>
  <si>
    <t>sanitair hal</t>
  </si>
  <si>
    <t>sanitair hal-nog te bouwen</t>
  </si>
  <si>
    <t>facility hal-buiten</t>
  </si>
  <si>
    <t>facility hal</t>
  </si>
  <si>
    <t>loopvlonder</t>
  </si>
  <si>
    <t>wachtruimte 30 personen</t>
  </si>
  <si>
    <t>vaccin voorbereiding 1</t>
  </si>
  <si>
    <t>vaccin voorbereiding 2</t>
  </si>
  <si>
    <t>prikzaal</t>
  </si>
  <si>
    <t>kantoor facilitair</t>
  </si>
  <si>
    <t>liggend</t>
  </si>
  <si>
    <t>arts</t>
  </si>
  <si>
    <t>onwel</t>
  </si>
  <si>
    <t>ehbo</t>
  </si>
  <si>
    <t>entree ('Efteling wachtruimte')</t>
  </si>
  <si>
    <t>toiletgroep</t>
  </si>
  <si>
    <t>miva toilet</t>
  </si>
  <si>
    <t>voorruimte toiletten</t>
  </si>
  <si>
    <t>opslag CSU</t>
  </si>
  <si>
    <t>laad/los perron</t>
  </si>
  <si>
    <t>kantoor verkeersregelaars</t>
  </si>
  <si>
    <t>opslag</t>
  </si>
  <si>
    <t>opslag vaccin</t>
  </si>
  <si>
    <t>lockerruimte</t>
  </si>
  <si>
    <t>pantry</t>
  </si>
  <si>
    <t>gang/hal</t>
  </si>
  <si>
    <t>Ruimteomschrijving</t>
  </si>
  <si>
    <t>Vloersoort</t>
  </si>
  <si>
    <t>Ruimtenr.</t>
  </si>
  <si>
    <t>Bouwdeel</t>
  </si>
  <si>
    <t>ALK-OLW</t>
  </si>
  <si>
    <t>Hout</t>
  </si>
  <si>
    <t>Olympiaweg 26</t>
  </si>
  <si>
    <t>Vaccin</t>
  </si>
  <si>
    <t>Vaccinatielocatie</t>
  </si>
  <si>
    <t>Freq. Ma-Vr</t>
  </si>
  <si>
    <t>Freq. Za</t>
  </si>
  <si>
    <t>Freq. Zo</t>
  </si>
  <si>
    <t>Freq. Fe</t>
  </si>
  <si>
    <t>ma</t>
  </si>
  <si>
    <t>di</t>
  </si>
  <si>
    <t>wo</t>
  </si>
  <si>
    <t>do</t>
  </si>
  <si>
    <t>vr</t>
  </si>
  <si>
    <t>za</t>
  </si>
  <si>
    <t>zo</t>
  </si>
  <si>
    <t>fe</t>
  </si>
  <si>
    <t>Nieuwjaarsdag</t>
  </si>
  <si>
    <t>1e paasdag</t>
  </si>
  <si>
    <t>2e paasdag</t>
  </si>
  <si>
    <t>Koningsdag</t>
  </si>
  <si>
    <t>Bevrijdingsdag</t>
  </si>
  <si>
    <t>Hemelvaartsdag</t>
  </si>
  <si>
    <t>1e pinksterdag</t>
  </si>
  <si>
    <t>2e pinksterdag</t>
  </si>
  <si>
    <t>1e kerstdag</t>
  </si>
  <si>
    <t>2e kerstdag</t>
  </si>
  <si>
    <t>Dagen</t>
  </si>
  <si>
    <t>2022</t>
  </si>
  <si>
    <t>2023</t>
  </si>
  <si>
    <t>2024</t>
  </si>
  <si>
    <t>2025</t>
  </si>
  <si>
    <t>2026</t>
  </si>
  <si>
    <t>2027</t>
  </si>
  <si>
    <t>2028</t>
  </si>
  <si>
    <t>2029</t>
  </si>
  <si>
    <t>2030</t>
  </si>
  <si>
    <t>2031</t>
  </si>
  <si>
    <t>2032</t>
  </si>
  <si>
    <t>2033</t>
  </si>
  <si>
    <t>2034</t>
  </si>
  <si>
    <t>2035</t>
  </si>
  <si>
    <t>2036</t>
  </si>
  <si>
    <t>2037</t>
  </si>
  <si>
    <t>2038</t>
  </si>
  <si>
    <t>2039</t>
  </si>
  <si>
    <t>2040</t>
  </si>
  <si>
    <t>Werkdagen</t>
  </si>
  <si>
    <t>Basisfrequenties</t>
  </si>
  <si>
    <t>5x per week</t>
  </si>
  <si>
    <t>4x per week</t>
  </si>
  <si>
    <t>3x per week</t>
  </si>
  <si>
    <t>2x per week</t>
  </si>
  <si>
    <t>1x per week</t>
  </si>
  <si>
    <t>255/Za</t>
  </si>
  <si>
    <t>Ma-Za (excl feestdagen)</t>
  </si>
  <si>
    <t>255/ZZ</t>
  </si>
  <si>
    <t>Ma-Zo (excl feestdagen)</t>
  </si>
  <si>
    <t>Alle dagen</t>
  </si>
  <si>
    <t>255/Fe</t>
  </si>
  <si>
    <t>Werkdagen (mddv)</t>
  </si>
  <si>
    <t>MDM-AGP</t>
  </si>
  <si>
    <t>entree hal (8x5)</t>
  </si>
  <si>
    <t>wachtruimte</t>
  </si>
  <si>
    <t>alu hal (15x25)</t>
  </si>
  <si>
    <t>toiletgroep 1 (bezoek)</t>
  </si>
  <si>
    <t>skybox (5x3)</t>
  </si>
  <si>
    <t>verbindingsgang</t>
  </si>
  <si>
    <t>alu hal (20x33)</t>
  </si>
  <si>
    <t>vaccinatie ruimte</t>
  </si>
  <si>
    <t>entree hal (20x10)</t>
  </si>
  <si>
    <t>alu hal (10x10)</t>
  </si>
  <si>
    <t>alu hal (12x10)</t>
  </si>
  <si>
    <t>toiletgroep 2 (personeel)</t>
  </si>
  <si>
    <t>toiletgroep 3 (bezoek)</t>
  </si>
  <si>
    <t>personeel en opslag (20x40)</t>
  </si>
  <si>
    <t>personeelsruimte</t>
  </si>
  <si>
    <t>uitgang bezoekers</t>
  </si>
  <si>
    <t>artsenkamer</t>
  </si>
  <si>
    <t>sanitair</t>
  </si>
  <si>
    <t>werkplek vaccinatie personeel (alleen vloer)</t>
  </si>
  <si>
    <t>kantoor/behandelkamer 1</t>
  </si>
  <si>
    <t>kantoor/behandelkamer 2</t>
  </si>
  <si>
    <t>kantoor/behandelkamer 3</t>
  </si>
  <si>
    <t>kantoor/behandelkamer 4</t>
  </si>
  <si>
    <t>overig deel</t>
  </si>
  <si>
    <t>entree bezoekers ('Efteling wachtruimte')</t>
  </si>
  <si>
    <t>entree medewerkers</t>
  </si>
  <si>
    <t>MIVA toilet</t>
  </si>
  <si>
    <t>spreekkamer</t>
  </si>
  <si>
    <t>kantoor beveiligers</t>
  </si>
  <si>
    <t>kantine</t>
  </si>
  <si>
    <t>HVH-TWG</t>
  </si>
  <si>
    <t>entree</t>
  </si>
  <si>
    <t>beheerdersdeel</t>
  </si>
  <si>
    <t>Efteling bufferruimte</t>
  </si>
  <si>
    <t>beton</t>
  </si>
  <si>
    <t>artsenkamer 1</t>
  </si>
  <si>
    <t>artsenkamer 2</t>
  </si>
  <si>
    <t>artsenkamer 3</t>
  </si>
  <si>
    <t>special need</t>
  </si>
  <si>
    <t>priklijn 8x (alleen vloer)</t>
  </si>
  <si>
    <t>optrekkersruimte (alleen vloer)</t>
  </si>
  <si>
    <t>EHBO</t>
  </si>
  <si>
    <t>magazijn</t>
  </si>
  <si>
    <t>velco</t>
  </si>
  <si>
    <t>dagco</t>
  </si>
  <si>
    <t>VC</t>
  </si>
  <si>
    <t>facilitair</t>
  </si>
  <si>
    <t>gangzone/lockers</t>
  </si>
  <si>
    <t>gangzone onder</t>
  </si>
  <si>
    <t>gangzone boven</t>
  </si>
  <si>
    <t>toiletgroep (MIVA)</t>
  </si>
  <si>
    <t>toiletgroep (4x)</t>
  </si>
  <si>
    <t>toiletgroep (2x)</t>
  </si>
  <si>
    <t>Agriport 33</t>
  </si>
  <si>
    <t>Torenweg 44</t>
  </si>
  <si>
    <t>Hem/Venhuizen</t>
  </si>
  <si>
    <t>1816 MJ</t>
  </si>
  <si>
    <t>1775 TA</t>
  </si>
  <si>
    <t>1607 CP</t>
  </si>
  <si>
    <t>DHE-FBW</t>
  </si>
  <si>
    <t>Drs. F. Bijlweg 1</t>
  </si>
  <si>
    <t>1784 MC</t>
  </si>
  <si>
    <t>Receptie</t>
  </si>
  <si>
    <t>Lift</t>
  </si>
  <si>
    <t>Kast</t>
  </si>
  <si>
    <t>Kantoortuin</t>
  </si>
  <si>
    <t>Uurtarief Za/Zo</t>
  </si>
  <si>
    <t>Uurtarief Feestdgn</t>
  </si>
  <si>
    <t>Matrix toeslagen bijzondere uren</t>
  </si>
  <si>
    <t>Maandag</t>
  </si>
  <si>
    <t>Dinsdag</t>
  </si>
  <si>
    <t>Woensdag</t>
  </si>
  <si>
    <t>Donderdag</t>
  </si>
  <si>
    <t>Vrijdag</t>
  </si>
  <si>
    <t>Zaterdag</t>
  </si>
  <si>
    <t>Zondag</t>
  </si>
  <si>
    <t>Feestdag</t>
  </si>
  <si>
    <t>00.00 uur tot 06.00 uur</t>
  </si>
  <si>
    <t>06.00 uur tot 21.30 uur</t>
  </si>
  <si>
    <t>21.30 uur tot 00.00 uur</t>
  </si>
  <si>
    <t>Totaal uurtarief (zonder toeslag)</t>
  </si>
  <si>
    <t>Kosten schoonmaakonderhoud op zaterdagen (Vaccin locaties)</t>
  </si>
  <si>
    <t>Kosten schoonmaakonderhoud op zondagen (Vaccin locaties)</t>
  </si>
  <si>
    <t>Totaal Zondagen</t>
  </si>
  <si>
    <t>Totaal Zaterdagen</t>
  </si>
  <si>
    <t>Kosten schoonmaakonderhoud op feestdagen (Vaccin locaties)</t>
  </si>
  <si>
    <t>Totaal Feestdagen</t>
  </si>
  <si>
    <t>Vloeren (Tapijt)</t>
  </si>
  <si>
    <t>Locaties opgenomen in de schouw.</t>
  </si>
  <si>
    <t>Inschrijfbiljet EU Openbaar Schoonmaak -  GGD Hollands Noorden</t>
  </si>
  <si>
    <t xml:space="preserve">De hierna te noemen Inschrijver: </t>
  </si>
  <si>
    <t>Gevestigd te:</t>
  </si>
  <si>
    <t>Vertegenwoordigt door:</t>
  </si>
  <si>
    <t>Functie:</t>
  </si>
  <si>
    <t>Verklaring minimum eisen.</t>
  </si>
  <si>
    <t xml:space="preserve">Door het ondertekenen van dit inschrijfbiljet verklaart Inschrijver onvoorwaardelijk en zonder voorbehoud akkoord te gaan en tevens volledig te voldoen aan de Minimumeisen gesteld in hoofdstuk 4 van het Aanbestedingsdocument EU openbare aanbesteding Schoonmaakonderhoud GGD Hollands Noorden inclusief Bijlagen, Appendices en de Nota ('s) van Inlichtingen. </t>
  </si>
  <si>
    <t>verklaart zich door rechtsgeldige ondertekening van dit biljet bereid tot het leveren van het schoonmaakonderhoud en glasbewassing voor GGD Hollands Noorden, volgens het Aanbestedingsdocument EU openbare aanbesteding Schoonmaakonderhoud GGD Hollands Noorden inclusief Bijlagen, Appendices en de Nota ('s) van Inlichtingen.</t>
  </si>
  <si>
    <t xml:space="preserve">Prijzen (overeenkomstig paragraaf 5.3) </t>
  </si>
  <si>
    <t>Kosten regulier schoonmaakonderhoud per jaar:</t>
  </si>
  <si>
    <t>Totaal regulier schoonmaak</t>
  </si>
  <si>
    <t>Totaal fictieve inschrijfprijs per jaar:</t>
  </si>
  <si>
    <t>Kosten Zaterdagen per jaar:</t>
  </si>
  <si>
    <t>Kosten Zondagen per jaar:</t>
  </si>
  <si>
    <t>Kosten Feestdagen per jaar:</t>
  </si>
  <si>
    <t xml:space="preserve">Kosten glasbewassing per jaar: </t>
  </si>
  <si>
    <t>Kosten regiewerkzaamheden per jaar:</t>
  </si>
  <si>
    <t>Resultaat vanuit 'Kostenblad schoonmaak'.</t>
  </si>
  <si>
    <t>Resultaat vanuit 'Glazenwassen'.</t>
  </si>
  <si>
    <t>Resultaat vanuit 'Staffelrpijzen'.</t>
  </si>
  <si>
    <t>Totaal bovenstaande posten.</t>
  </si>
  <si>
    <t>Ondertekening:</t>
  </si>
  <si>
    <t>Opdrachtnemer:</t>
  </si>
  <si>
    <t>Plaats:</t>
  </si>
  <si>
    <t>Naam:</t>
  </si>
  <si>
    <t>Datum:</t>
  </si>
  <si>
    <t>Handtekening:</t>
  </si>
  <si>
    <t>*)</t>
  </si>
  <si>
    <t>*) - Deze m2 zijn nog niet gecontroleerd.</t>
  </si>
  <si>
    <t>Opmerkingen</t>
  </si>
  <si>
    <t>**)</t>
  </si>
  <si>
    <t>**) - Deze m2 moeten na gunning worden opgenomen.</t>
  </si>
  <si>
    <t>Armatuur/Bureaulamp</t>
  </si>
  <si>
    <t>Handdoekautomaat</t>
  </si>
  <si>
    <t>Hygienebox</t>
  </si>
  <si>
    <t>Zeepautomaat</t>
  </si>
  <si>
    <t>Toiletroldispenser</t>
  </si>
  <si>
    <t>Toiletbrilreiniger</t>
  </si>
  <si>
    <t>Luchtverfrisser</t>
  </si>
  <si>
    <t>Leuning/hekwerk</t>
  </si>
  <si>
    <t>Schaamschot</t>
  </si>
  <si>
    <t>Wastafel (incl. kranen)</t>
  </si>
  <si>
    <t>Douche (wand incl. kranen/douchekop)</t>
  </si>
  <si>
    <t>Douche (vloer incl. putje)</t>
  </si>
  <si>
    <t>geheel natreinigen en ontkalken</t>
  </si>
  <si>
    <t>wissen/moppen, putje vrij van haren</t>
  </si>
  <si>
    <t>buitenkant klamvochtig reinigen</t>
  </si>
  <si>
    <t>stofvrijmaken</t>
  </si>
  <si>
    <t>schrobben en afvoerputje reinigen en vullen.</t>
  </si>
  <si>
    <t>schrobben, ontkalken en afvoerputje reinigen en vullen.</t>
  </si>
  <si>
    <t>verticale vlakken  en handgrepen stof-en vlekverwijderen</t>
  </si>
  <si>
    <t>bovenzijde stofvrij maken</t>
  </si>
  <si>
    <t>bovenzijde en verticale vlakken stof-en vlekverwijderen</t>
  </si>
  <si>
    <t>sprayen en opwrijven</t>
  </si>
  <si>
    <t>stofzuigen, wissen en vlekverwijderen</t>
  </si>
  <si>
    <t>wissen en vlekverwijderen</t>
  </si>
  <si>
    <t>Vloeren (Linoleum, PVC)</t>
  </si>
  <si>
    <t>Vloeren (Steen, Tegels)</t>
  </si>
  <si>
    <t>Vloeren (Hout, Laminaat)</t>
  </si>
  <si>
    <t>Vloeren (Hout)</t>
  </si>
  <si>
    <t>olieën of vergelijkbare conserverende bewerking</t>
  </si>
  <si>
    <t>rolveger, tippend stofzuigen</t>
  </si>
  <si>
    <t>geheel stofzuigen (borstelzuigen (inlooptapijt))</t>
  </si>
  <si>
    <t>255</t>
  </si>
  <si>
    <t>204</t>
  </si>
  <si>
    <t>156</t>
  </si>
  <si>
    <t>104</t>
  </si>
  <si>
    <t>52</t>
  </si>
  <si>
    <t>4</t>
  </si>
  <si>
    <t>Werkprogramma Boxenruimte</t>
  </si>
  <si>
    <t>Werkprogramma Kantoorruimte</t>
  </si>
  <si>
    <t>Werkprogramma Representatieve ruimte</t>
  </si>
  <si>
    <t>Werkprogramma Restauratieve ruimte</t>
  </si>
  <si>
    <t>Werkprogramma Sanitaire ruimte</t>
  </si>
  <si>
    <t>Werkprogramma Verkeersruimte</t>
  </si>
  <si>
    <t>Productieve uren
 Lngrp 1 - 4 dienstjr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</si>
</sst>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
    <numFmt numFmtId="168" formatCode="_-* #,##0.00_-;\-* #,##0.00_-;_-* &quot;-&quot;??_-;_-@_-"/>
    <numFmt numFmtId="169" formatCode="#,##0.00;\-#,##0.00;"/>
    <numFmt numFmtId="170" formatCode="_-* #,##0.00_-;_-* #,##0.00\-;_-* &quot;-&quot;??_-;_-@_-"/>
    <numFmt numFmtId="171" formatCode="_(&quot;€&quot;\ * #,##0.00_);_(&quot;€&quot;\ * \(#,##0.00\);"/>
    <numFmt numFmtId="172" formatCode="_-&quot;€&quot;\ * #,##0.00_-;_-&quot;€&quot;\ * #,##0.00\-;_-&quot;€&quot;\ * &quot;-&quot;??_-;_-@_-"/>
    <numFmt numFmtId="173" formatCode="_(&quot;ƒ&quot;* #,##0.00_);_(&quot;ƒ&quot;* \(#,##0.00\);_(&quot;ƒ&quot;* &quot;-&quot;??_);_(@_)"/>
    <numFmt numFmtId="174" formatCode="_-&quot;F&quot;\ * #,##0.00_-;_-&quot;F&quot;\ * #,##0.00\-;_-&quot;F&quot;\ * &quot;-&quot;??_-;_-@_-"/>
    <numFmt numFmtId="175" formatCode="[$-413]d\ mmmm\ yyyy;@"/>
    <numFmt numFmtId="176" formatCode="0;0;;"/>
  </numFmts>
  <fonts count="26"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0"/>
      <name val="Helv"/>
    </font>
    <font>
      <sz val="9"/>
      <color theme="1"/>
      <name val="Calibri"/>
      <family val="2"/>
      <scheme val="minor"/>
    </font>
    <font>
      <sz val="9"/>
      <color theme="0"/>
      <name val="Calibri"/>
      <family val="2"/>
      <scheme val="minor"/>
    </font>
    <font>
      <sz val="12"/>
      <color theme="1"/>
      <name val="Calibri"/>
      <family val="2"/>
      <scheme val="minor"/>
    </font>
    <font>
      <sz val="11"/>
      <color indexed="8"/>
      <name val="Calibri"/>
      <family val="2"/>
    </font>
    <font>
      <sz val="10"/>
      <name val="Arial"/>
      <family val="2"/>
    </font>
    <font>
      <sz val="10"/>
      <name val="Times"/>
      <family val="1"/>
    </font>
    <font>
      <b/>
      <sz val="9"/>
      <color indexed="9"/>
      <name val="Calibri"/>
      <family val="2"/>
      <scheme val="minor"/>
    </font>
    <font>
      <sz val="9"/>
      <color theme="4" tint="-0.499984740745262"/>
      <name val="Calibri"/>
      <family val="2"/>
      <scheme val="minor"/>
    </font>
    <font>
      <sz val="9"/>
      <color indexed="56"/>
      <name val="Calibri"/>
      <family val="2"/>
      <scheme val="minor"/>
    </font>
    <font>
      <b/>
      <sz val="9"/>
      <color theme="0"/>
      <name val="Calibri"/>
      <family val="2"/>
      <scheme val="minor"/>
    </font>
    <font>
      <sz val="9"/>
      <color rgb="FF0901B4"/>
      <name val="Calibri"/>
      <family val="2"/>
      <scheme val="minor"/>
    </font>
    <font>
      <sz val="9"/>
      <name val="Calibri"/>
      <family val="2"/>
      <scheme val="minor"/>
    </font>
    <font>
      <b/>
      <sz val="9"/>
      <color theme="1"/>
      <name val="Calibri"/>
      <family val="2"/>
      <scheme val="minor"/>
    </font>
    <font>
      <b/>
      <sz val="9"/>
      <color rgb="FF0901B4"/>
      <name val="Calibri"/>
      <family val="2"/>
      <scheme val="minor"/>
    </font>
    <font>
      <i/>
      <sz val="9"/>
      <color rgb="FF0901B4"/>
      <name val="Calibri"/>
      <family val="2"/>
      <scheme val="minor"/>
    </font>
    <font>
      <u/>
      <sz val="11"/>
      <color theme="10"/>
      <name val="Calibri"/>
      <family val="2"/>
      <scheme val="minor"/>
    </font>
    <font>
      <sz val="9"/>
      <color theme="2" tint="-9.9978637043366805E-2"/>
      <name val="Calibri"/>
      <family val="2"/>
      <scheme val="minor"/>
    </font>
    <font>
      <b/>
      <i/>
      <sz val="9"/>
      <color theme="1"/>
      <name val="Calibri"/>
      <family val="2"/>
      <scheme val="minor"/>
    </font>
    <font>
      <b/>
      <sz val="16"/>
      <color theme="0"/>
      <name val="Calibri"/>
      <family val="2"/>
      <scheme val="minor"/>
    </font>
    <font>
      <b/>
      <sz val="16"/>
      <color indexed="9"/>
      <name val="Calibri"/>
      <family val="2"/>
      <scheme val="minor"/>
    </font>
    <font>
      <sz val="9"/>
      <color rgb="FFFF0000"/>
      <name val="Calibri"/>
      <family val="2"/>
      <scheme val="minor"/>
    </font>
  </fonts>
  <fills count="11">
    <fill>
      <patternFill patternType="none"/>
    </fill>
    <fill>
      <patternFill patternType="gray125"/>
    </fill>
    <fill>
      <patternFill patternType="solid">
        <fgColor theme="4" tint="0.39997558519241921"/>
        <bgColor indexed="64"/>
      </patternFill>
    </fill>
    <fill>
      <patternFill patternType="solid">
        <fgColor theme="9" tint="0.79998168889431442"/>
        <bgColor indexed="64"/>
      </patternFill>
    </fill>
    <fill>
      <patternFill patternType="solid">
        <fgColor rgb="FFF9EFD2"/>
        <bgColor indexed="64"/>
      </patternFill>
    </fill>
    <fill>
      <patternFill patternType="solid">
        <fgColor theme="0"/>
        <bgColor indexed="64"/>
      </patternFill>
    </fill>
    <fill>
      <patternFill patternType="solid">
        <fgColor rgb="FFE2EFDA"/>
        <bgColor indexed="64"/>
      </patternFill>
    </fill>
    <fill>
      <patternFill patternType="solid">
        <fgColor indexed="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5" tint="0.59999389629810485"/>
        <bgColor indexed="64"/>
      </patternFill>
    </fill>
  </fills>
  <borders count="19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thin">
        <color auto="1"/>
      </top>
      <bottom style="hair">
        <color auto="1"/>
      </bottom>
      <diagonal/>
    </border>
    <border>
      <left style="thin">
        <color auto="1"/>
      </left>
      <right style="medium">
        <color indexed="64"/>
      </right>
      <top style="thin">
        <color auto="1"/>
      </top>
      <bottom style="hair">
        <color auto="1"/>
      </bottom>
      <diagonal/>
    </border>
    <border>
      <left style="thin">
        <color auto="1"/>
      </left>
      <right style="medium">
        <color indexed="64"/>
      </right>
      <top style="hair">
        <color auto="1"/>
      </top>
      <bottom style="hair">
        <color auto="1"/>
      </bottom>
      <diagonal/>
    </border>
    <border>
      <left style="thin">
        <color auto="1"/>
      </left>
      <right style="medium">
        <color indexed="64"/>
      </right>
      <top style="hair">
        <color auto="1"/>
      </top>
      <bottom style="thin">
        <color auto="1"/>
      </bottom>
      <diagonal/>
    </border>
    <border>
      <left style="medium">
        <color indexed="64"/>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right style="hair">
        <color auto="1"/>
      </right>
      <top style="thin">
        <color auto="1"/>
      </top>
      <bottom style="medium">
        <color indexed="64"/>
      </bottom>
      <diagonal/>
    </border>
    <border>
      <left style="hair">
        <color auto="1"/>
      </left>
      <right style="hair">
        <color auto="1"/>
      </right>
      <top style="thin">
        <color auto="1"/>
      </top>
      <bottom style="medium">
        <color indexed="64"/>
      </bottom>
      <diagonal/>
    </border>
    <border>
      <left style="hair">
        <color auto="1"/>
      </left>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auto="1"/>
      </top>
      <bottom style="hair">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bottom style="hair">
        <color auto="1"/>
      </bottom>
      <diagonal/>
    </border>
    <border>
      <left style="hair">
        <color auto="1"/>
      </left>
      <right style="hair">
        <color auto="1"/>
      </right>
      <top/>
      <bottom style="hair">
        <color auto="1"/>
      </bottom>
      <diagonal/>
    </border>
    <border>
      <left style="thin">
        <color auto="1"/>
      </left>
      <right style="hair">
        <color auto="1"/>
      </right>
      <top style="medium">
        <color indexed="64"/>
      </top>
      <bottom style="medium">
        <color indexed="64"/>
      </bottom>
      <diagonal/>
    </border>
    <border>
      <left style="hair">
        <color auto="1"/>
      </left>
      <right/>
      <top style="medium">
        <color indexed="64"/>
      </top>
      <bottom style="medium">
        <color indexed="64"/>
      </bottom>
      <diagonal/>
    </border>
    <border>
      <left style="hair">
        <color auto="1"/>
      </left>
      <right style="medium">
        <color indexed="64"/>
      </right>
      <top style="medium">
        <color indexed="64"/>
      </top>
      <bottom/>
      <diagonal/>
    </border>
    <border>
      <left style="hair">
        <color auto="1"/>
      </left>
      <right style="medium">
        <color indexed="64"/>
      </right>
      <top/>
      <bottom/>
      <diagonal/>
    </border>
    <border>
      <left style="hair">
        <color auto="1"/>
      </left>
      <right style="medium">
        <color indexed="64"/>
      </right>
      <top/>
      <bottom style="thin">
        <color auto="1"/>
      </bottom>
      <diagonal/>
    </border>
    <border>
      <left style="hair">
        <color auto="1"/>
      </left>
      <right style="medium">
        <color indexed="64"/>
      </right>
      <top style="thin">
        <color auto="1"/>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auto="1"/>
      </right>
      <top style="medium">
        <color indexed="64"/>
      </top>
      <bottom style="hair">
        <color auto="1"/>
      </bottom>
      <diagonal/>
    </border>
    <border>
      <left style="thin">
        <color auto="1"/>
      </left>
      <right style="medium">
        <color indexed="64"/>
      </right>
      <top style="medium">
        <color indexed="64"/>
      </top>
      <bottom style="hair">
        <color auto="1"/>
      </bottom>
      <diagonal/>
    </border>
    <border>
      <left style="medium">
        <color indexed="64"/>
      </left>
      <right style="thin">
        <color auto="1"/>
      </right>
      <top style="hair">
        <color auto="1"/>
      </top>
      <bottom style="hair">
        <color auto="1"/>
      </bottom>
      <diagonal/>
    </border>
    <border>
      <left style="medium">
        <color indexed="64"/>
      </left>
      <right style="thin">
        <color auto="1"/>
      </right>
      <top style="hair">
        <color auto="1"/>
      </top>
      <bottom style="thin">
        <color auto="1"/>
      </bottom>
      <diagonal/>
    </border>
    <border>
      <left style="medium">
        <color indexed="64"/>
      </left>
      <right style="thin">
        <color auto="1"/>
      </right>
      <top style="thin">
        <color auto="1"/>
      </top>
      <bottom style="hair">
        <color auto="1"/>
      </bottom>
      <diagonal/>
    </border>
    <border>
      <left style="medium">
        <color indexed="64"/>
      </left>
      <right style="thin">
        <color auto="1"/>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right/>
      <top style="medium">
        <color indexed="64"/>
      </top>
      <bottom style="medium">
        <color indexed="64"/>
      </bottom>
      <diagonal/>
    </border>
    <border>
      <left style="thin">
        <color auto="1"/>
      </left>
      <right/>
      <top style="medium">
        <color indexed="64"/>
      </top>
      <bottom style="hair">
        <color auto="1"/>
      </bottom>
      <diagonal/>
    </border>
    <border>
      <left style="thin">
        <color indexed="64"/>
      </left>
      <right/>
      <top style="thin">
        <color indexed="64"/>
      </top>
      <bottom style="medium">
        <color indexed="64"/>
      </bottom>
      <diagonal/>
    </border>
    <border>
      <left style="thin">
        <color auto="1"/>
      </left>
      <right style="thin">
        <color auto="1"/>
      </right>
      <top style="medium">
        <color indexed="64"/>
      </top>
      <bottom style="hair">
        <color auto="1"/>
      </bottom>
      <diagonal/>
    </border>
    <border>
      <left style="hair">
        <color indexed="64"/>
      </left>
      <right/>
      <top style="medium">
        <color indexed="64"/>
      </top>
      <bottom/>
      <diagonal/>
    </border>
    <border>
      <left style="medium">
        <color indexed="64"/>
      </left>
      <right style="thin">
        <color auto="1"/>
      </right>
      <top style="hair">
        <color auto="1"/>
      </top>
      <bottom/>
      <diagonal/>
    </border>
    <border>
      <left style="thin">
        <color auto="1"/>
      </left>
      <right/>
      <top style="hair">
        <color auto="1"/>
      </top>
      <bottom/>
      <diagonal/>
    </border>
    <border>
      <left style="thin">
        <color auto="1"/>
      </left>
      <right style="thin">
        <color auto="1"/>
      </right>
      <top style="hair">
        <color auto="1"/>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hair">
        <color auto="1"/>
      </top>
      <bottom style="medium">
        <color indexed="64"/>
      </bottom>
      <diagonal/>
    </border>
    <border>
      <left style="medium">
        <color indexed="64"/>
      </left>
      <right style="medium">
        <color indexed="64"/>
      </right>
      <top style="hair">
        <color auto="1"/>
      </top>
      <bottom style="medium">
        <color indexed="64"/>
      </bottom>
      <diagonal/>
    </border>
    <border>
      <left style="medium">
        <color indexed="64"/>
      </left>
      <right style="thin">
        <color indexed="22"/>
      </right>
      <top style="thin">
        <color indexed="64"/>
      </top>
      <bottom style="thin">
        <color indexed="64"/>
      </bottom>
      <diagonal/>
    </border>
    <border>
      <left style="thin">
        <color indexed="22"/>
      </left>
      <right style="medium">
        <color indexed="64"/>
      </right>
      <top style="thin">
        <color indexed="64"/>
      </top>
      <bottom style="thin">
        <color indexed="64"/>
      </bottom>
      <diagonal/>
    </border>
    <border>
      <left style="medium">
        <color indexed="64"/>
      </left>
      <right style="thin">
        <color indexed="22"/>
      </right>
      <top style="thin">
        <color indexed="64"/>
      </top>
      <bottom style="hair">
        <color indexed="64"/>
      </bottom>
      <diagonal/>
    </border>
    <border>
      <left style="thin">
        <color indexed="22"/>
      </left>
      <right style="medium">
        <color indexed="64"/>
      </right>
      <top style="thin">
        <color indexed="64"/>
      </top>
      <bottom style="hair">
        <color indexed="64"/>
      </bottom>
      <diagonal/>
    </border>
    <border>
      <left style="medium">
        <color indexed="64"/>
      </left>
      <right style="thin">
        <color indexed="22"/>
      </right>
      <top style="hair">
        <color indexed="64"/>
      </top>
      <bottom style="hair">
        <color indexed="64"/>
      </bottom>
      <diagonal/>
    </border>
    <border>
      <left style="thin">
        <color indexed="22"/>
      </left>
      <right style="medium">
        <color indexed="64"/>
      </right>
      <top style="hair">
        <color indexed="64"/>
      </top>
      <bottom style="hair">
        <color indexed="64"/>
      </bottom>
      <diagonal/>
    </border>
    <border>
      <left style="medium">
        <color indexed="64"/>
      </left>
      <right style="thin">
        <color indexed="22"/>
      </right>
      <top style="hair">
        <color indexed="64"/>
      </top>
      <bottom/>
      <diagonal/>
    </border>
    <border>
      <left style="thin">
        <color indexed="22"/>
      </left>
      <right style="medium">
        <color indexed="64"/>
      </right>
      <top style="hair">
        <color indexed="64"/>
      </top>
      <bottom/>
      <diagonal/>
    </border>
    <border>
      <left style="medium">
        <color indexed="64"/>
      </left>
      <right style="thin">
        <color indexed="22"/>
      </right>
      <top style="hair">
        <color indexed="64"/>
      </top>
      <bottom style="medium">
        <color indexed="64"/>
      </bottom>
      <diagonal/>
    </border>
    <border>
      <left style="thin">
        <color indexed="22"/>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style="thin">
        <color auto="1"/>
      </top>
      <bottom style="hair">
        <color auto="1"/>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auto="1"/>
      </top>
      <bottom style="hair">
        <color auto="1"/>
      </bottom>
      <diagonal/>
    </border>
    <border>
      <left style="thin">
        <color indexed="64"/>
      </left>
      <right style="thin">
        <color indexed="64"/>
      </right>
      <top style="medium">
        <color indexed="64"/>
      </top>
      <bottom/>
      <diagonal/>
    </border>
    <border>
      <left style="thin">
        <color auto="1"/>
      </left>
      <right style="hair">
        <color auto="1"/>
      </right>
      <top style="medium">
        <color indexed="64"/>
      </top>
      <bottom/>
      <diagonal/>
    </border>
    <border>
      <left style="thin">
        <color auto="1"/>
      </left>
      <right style="thin">
        <color auto="1"/>
      </right>
      <top/>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style="thin">
        <color auto="1"/>
      </left>
      <right style="medium">
        <color indexed="64"/>
      </right>
      <top style="hair">
        <color auto="1"/>
      </top>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bottom style="hair">
        <color auto="1"/>
      </bottom>
      <diagonal/>
    </border>
    <border>
      <left style="thin">
        <color auto="1"/>
      </left>
      <right/>
      <top/>
      <bottom style="hair">
        <color auto="1"/>
      </bottom>
      <diagonal/>
    </border>
    <border>
      <left style="thin">
        <color auto="1"/>
      </left>
      <right style="medium">
        <color indexed="64"/>
      </right>
      <top/>
      <bottom style="hair">
        <color auto="1"/>
      </bottom>
      <diagonal/>
    </border>
    <border>
      <left style="thin">
        <color auto="1"/>
      </left>
      <right style="medium">
        <color indexed="64"/>
      </right>
      <top/>
      <bottom style="medium">
        <color indexed="64"/>
      </bottom>
      <diagonal/>
    </border>
    <border>
      <left style="hair">
        <color auto="1"/>
      </left>
      <right/>
      <top/>
      <bottom style="thin">
        <color auto="1"/>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medium">
        <color indexed="64"/>
      </left>
      <right style="thin">
        <color indexed="64"/>
      </right>
      <top style="medium">
        <color indexed="64"/>
      </top>
      <bottom style="thin">
        <color indexed="64"/>
      </bottom>
      <diagonal/>
    </border>
    <border>
      <left/>
      <right style="hair">
        <color auto="1"/>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auto="1"/>
      </left>
      <right style="medium">
        <color indexed="64"/>
      </right>
      <top style="medium">
        <color indexed="64"/>
      </top>
      <bottom style="thin">
        <color indexed="64"/>
      </bottom>
      <diagonal/>
    </border>
    <border>
      <left style="hair">
        <color auto="1"/>
      </left>
      <right style="medium">
        <color indexed="64"/>
      </right>
      <top style="thin">
        <color indexed="64"/>
      </top>
      <bottom style="thin">
        <color indexed="64"/>
      </bottom>
      <diagonal/>
    </border>
    <border>
      <left style="hair">
        <color indexed="64"/>
      </left>
      <right/>
      <top style="medium">
        <color indexed="64"/>
      </top>
      <bottom style="thin">
        <color indexed="64"/>
      </bottom>
      <diagonal/>
    </border>
    <border>
      <left/>
      <right/>
      <top style="hair">
        <color auto="1"/>
      </top>
      <bottom/>
      <diagonal/>
    </border>
    <border>
      <left/>
      <right style="thin">
        <color indexed="64"/>
      </right>
      <top style="hair">
        <color auto="1"/>
      </top>
      <bottom style="hair">
        <color auto="1"/>
      </bottom>
      <diagonal/>
    </border>
    <border>
      <left style="thin">
        <color indexed="64"/>
      </left>
      <right/>
      <top style="thin">
        <color auto="1"/>
      </top>
      <bottom style="hair">
        <color auto="1"/>
      </bottom>
      <diagonal/>
    </border>
    <border>
      <left style="thin">
        <color indexed="64"/>
      </left>
      <right style="hair">
        <color auto="1"/>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auto="1"/>
      </left>
      <right style="medium">
        <color auto="1"/>
      </right>
      <top style="hair">
        <color auto="1"/>
      </top>
      <bottom style="hair">
        <color auto="1"/>
      </bottom>
      <diagonal/>
    </border>
    <border>
      <left/>
      <right style="medium">
        <color indexed="64"/>
      </right>
      <top style="hair">
        <color indexed="64"/>
      </top>
      <bottom style="hair">
        <color indexed="64"/>
      </bottom>
      <diagonal/>
    </border>
    <border>
      <left style="medium">
        <color indexed="64"/>
      </left>
      <right/>
      <top style="medium">
        <color indexed="64"/>
      </top>
      <bottom style="hair">
        <color auto="1"/>
      </bottom>
      <diagonal/>
    </border>
    <border>
      <left style="medium">
        <color indexed="64"/>
      </left>
      <right/>
      <top style="hair">
        <color auto="1"/>
      </top>
      <bottom style="medium">
        <color indexed="64"/>
      </bottom>
      <diagonal/>
    </border>
    <border>
      <left/>
      <right style="thin">
        <color auto="1"/>
      </right>
      <top style="hair">
        <color auto="1"/>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auto="1"/>
      </top>
      <bottom style="hair">
        <color auto="1"/>
      </bottom>
      <diagonal/>
    </border>
    <border>
      <left/>
      <right style="thin">
        <color indexed="64"/>
      </right>
      <top style="hair">
        <color auto="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hair">
        <color indexed="64"/>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indexed="64"/>
      </left>
      <right style="medium">
        <color indexed="64"/>
      </right>
      <top style="medium">
        <color indexed="64"/>
      </top>
      <bottom style="hair">
        <color auto="1"/>
      </bottom>
      <diagonal/>
    </border>
    <border>
      <left style="hair">
        <color indexed="64"/>
      </left>
      <right style="medium">
        <color indexed="64"/>
      </right>
      <top style="hair">
        <color auto="1"/>
      </top>
      <bottom style="hair">
        <color auto="1"/>
      </bottom>
      <diagonal/>
    </border>
    <border>
      <left style="medium">
        <color indexed="64"/>
      </left>
      <right style="thin">
        <color indexed="64"/>
      </right>
      <top style="hair">
        <color auto="1"/>
      </top>
      <bottom style="medium">
        <color indexed="64"/>
      </bottom>
      <diagonal/>
    </border>
    <border>
      <left style="thin">
        <color indexed="64"/>
      </left>
      <right style="thin">
        <color indexed="64"/>
      </right>
      <top style="hair">
        <color auto="1"/>
      </top>
      <bottom style="medium">
        <color indexed="64"/>
      </bottom>
      <diagonal/>
    </border>
    <border>
      <left style="thin">
        <color indexed="64"/>
      </left>
      <right style="hair">
        <color indexed="64"/>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indexed="64"/>
      </left>
      <right style="medium">
        <color indexed="64"/>
      </right>
      <top style="hair">
        <color auto="1"/>
      </top>
      <bottom style="medium">
        <color indexed="64"/>
      </bottom>
      <diagonal/>
    </border>
    <border>
      <left style="hair">
        <color indexed="64"/>
      </left>
      <right/>
      <top style="medium">
        <color indexed="64"/>
      </top>
      <bottom style="hair">
        <color auto="1"/>
      </bottom>
      <diagonal/>
    </border>
    <border>
      <left style="hair">
        <color indexed="64"/>
      </left>
      <right/>
      <top style="hair">
        <color auto="1"/>
      </top>
      <bottom style="hair">
        <color auto="1"/>
      </bottom>
      <diagonal/>
    </border>
    <border>
      <left style="hair">
        <color indexed="64"/>
      </left>
      <right/>
      <top style="hair">
        <color auto="1"/>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auto="1"/>
      </left>
      <right style="hair">
        <color auto="1"/>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auto="1"/>
      </left>
      <right/>
      <top/>
      <bottom style="medium">
        <color indexed="64"/>
      </bottom>
      <diagonal/>
    </border>
    <border>
      <left style="thin">
        <color indexed="64"/>
      </left>
      <right style="hair">
        <color indexed="64"/>
      </right>
      <top style="hair">
        <color auto="1"/>
      </top>
      <bottom/>
      <diagonal/>
    </border>
    <border>
      <left style="hair">
        <color auto="1"/>
      </left>
      <right style="hair">
        <color auto="1"/>
      </right>
      <top style="hair">
        <color auto="1"/>
      </top>
      <bottom/>
      <diagonal/>
    </border>
    <border>
      <left style="hair">
        <color indexed="64"/>
      </left>
      <right/>
      <top style="hair">
        <color auto="1"/>
      </top>
      <bottom/>
      <diagonal/>
    </border>
  </borders>
  <cellStyleXfs count="24">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xf numFmtId="0" fontId="4" fillId="0" borderId="0"/>
    <xf numFmtId="168" fontId="4" fillId="0" borderId="0" applyFont="0" applyFill="0" applyBorder="0" applyAlignment="0" applyProtection="0"/>
    <xf numFmtId="164" fontId="1" fillId="0" borderId="0" applyFont="0" applyFill="0" applyBorder="0" applyAlignment="0" applyProtection="0"/>
    <xf numFmtId="0" fontId="7" fillId="0" borderId="0"/>
    <xf numFmtId="164" fontId="7" fillId="0" borderId="0" applyFont="0" applyFill="0" applyBorder="0" applyAlignment="0" applyProtection="0"/>
    <xf numFmtId="0" fontId="8" fillId="0" borderId="0"/>
    <xf numFmtId="0" fontId="9" fillId="0" borderId="0"/>
    <xf numFmtId="170"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1" fillId="0" borderId="0"/>
    <xf numFmtId="0" fontId="2" fillId="0" borderId="0"/>
    <xf numFmtId="172" fontId="2" fillId="0" borderId="0" applyFont="0" applyFill="0" applyBorder="0" applyAlignment="0" applyProtection="0"/>
    <xf numFmtId="173" fontId="10" fillId="0" borderId="0" applyFont="0" applyFill="0" applyBorder="0" applyAlignment="0" applyProtection="0"/>
    <xf numFmtId="0" fontId="2" fillId="0" borderId="0"/>
    <xf numFmtId="0" fontId="1" fillId="0" borderId="0"/>
    <xf numFmtId="0" fontId="2" fillId="0" borderId="0"/>
    <xf numFmtId="174" fontId="2"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cellStyleXfs>
  <cellXfs count="606">
    <xf numFmtId="0" fontId="0" fillId="0" borderId="0" xfId="0"/>
    <xf numFmtId="43" fontId="5" fillId="0" borderId="97" xfId="1" applyFont="1" applyBorder="1" applyProtection="1">
      <protection hidden="1"/>
    </xf>
    <xf numFmtId="43" fontId="5" fillId="0" borderId="98" xfId="1" applyFont="1" applyBorder="1" applyProtection="1">
      <protection hidden="1"/>
    </xf>
    <xf numFmtId="43" fontId="6" fillId="2" borderId="17" xfId="1" applyFont="1" applyFill="1" applyBorder="1" applyProtection="1">
      <protection hidden="1"/>
    </xf>
    <xf numFmtId="14" fontId="0" fillId="0" borderId="0" xfId="0" applyNumberFormat="1"/>
    <xf numFmtId="0" fontId="0" fillId="0" borderId="153" xfId="0" applyBorder="1"/>
    <xf numFmtId="0" fontId="0" fillId="0" borderId="0" xfId="0" applyBorder="1"/>
    <xf numFmtId="0" fontId="5" fillId="0" borderId="0" xfId="0" applyFont="1"/>
    <xf numFmtId="0" fontId="5" fillId="0" borderId="128" xfId="9" applyFont="1" applyBorder="1" applyProtection="1">
      <protection locked="0"/>
    </xf>
    <xf numFmtId="0" fontId="5" fillId="0" borderId="0" xfId="0" applyFont="1" applyProtection="1">
      <protection hidden="1"/>
    </xf>
    <xf numFmtId="0" fontId="5" fillId="0" borderId="1" xfId="0" applyFont="1" applyBorder="1" applyAlignment="1" applyProtection="1">
      <alignment horizontal="center"/>
      <protection hidden="1"/>
    </xf>
    <xf numFmtId="0" fontId="5" fillId="0" borderId="133" xfId="0" applyFont="1" applyFill="1" applyBorder="1" applyAlignment="1" applyProtection="1">
      <alignment horizontal="center"/>
      <protection hidden="1"/>
    </xf>
    <xf numFmtId="0" fontId="5" fillId="0" borderId="88" xfId="4" applyFont="1" applyBorder="1" applyAlignment="1" applyProtection="1">
      <alignment horizontal="center"/>
      <protection hidden="1"/>
    </xf>
    <xf numFmtId="2" fontId="14" fillId="2" borderId="78" xfId="5" applyNumberFormat="1" applyFont="1" applyFill="1" applyBorder="1" applyAlignment="1" applyProtection="1">
      <alignment horizontal="center" vertical="center"/>
      <protection hidden="1"/>
    </xf>
    <xf numFmtId="10" fontId="14" fillId="2" borderId="79" xfId="3" applyNumberFormat="1" applyFont="1" applyFill="1" applyBorder="1" applyAlignment="1" applyProtection="1">
      <alignment horizontal="right" vertical="center"/>
      <protection hidden="1"/>
    </xf>
    <xf numFmtId="0" fontId="15" fillId="4" borderId="89" xfId="4" applyFont="1" applyFill="1" applyBorder="1" applyAlignment="1" applyProtection="1">
      <alignment horizontal="center"/>
      <protection hidden="1"/>
    </xf>
    <xf numFmtId="10" fontId="15" fillId="4" borderId="1" xfId="3" applyNumberFormat="1" applyFont="1" applyFill="1" applyBorder="1" applyAlignment="1" applyProtection="1">
      <alignment horizontal="right"/>
      <protection hidden="1"/>
    </xf>
    <xf numFmtId="168" fontId="6" fillId="2" borderId="95" xfId="4" applyNumberFormat="1" applyFont="1" applyFill="1" applyBorder="1" applyProtection="1">
      <protection hidden="1"/>
    </xf>
    <xf numFmtId="168" fontId="16" fillId="0" borderId="0" xfId="4" applyNumberFormat="1" applyFont="1" applyFill="1" applyBorder="1" applyProtection="1">
      <protection hidden="1"/>
    </xf>
    <xf numFmtId="168" fontId="14" fillId="2" borderId="35" xfId="4" applyNumberFormat="1" applyFont="1" applyFill="1" applyBorder="1" applyProtection="1">
      <protection hidden="1"/>
    </xf>
    <xf numFmtId="9" fontId="16" fillId="0" borderId="57" xfId="3" applyFont="1" applyFill="1" applyBorder="1" applyProtection="1">
      <protection hidden="1"/>
    </xf>
    <xf numFmtId="9" fontId="16" fillId="8" borderId="59" xfId="3" applyFont="1" applyFill="1" applyBorder="1" applyProtection="1">
      <protection hidden="1"/>
    </xf>
    <xf numFmtId="9" fontId="16" fillId="0" borderId="99" xfId="3" applyFont="1" applyFill="1" applyBorder="1" applyProtection="1">
      <protection hidden="1"/>
    </xf>
    <xf numFmtId="168" fontId="6" fillId="2" borderId="115" xfId="4" applyNumberFormat="1" applyFont="1" applyFill="1" applyBorder="1" applyProtection="1">
      <protection hidden="1"/>
    </xf>
    <xf numFmtId="168" fontId="6" fillId="2" borderId="154" xfId="4" applyNumberFormat="1" applyFont="1" applyFill="1" applyBorder="1" applyProtection="1">
      <protection hidden="1"/>
    </xf>
    <xf numFmtId="168" fontId="6" fillId="2" borderId="164" xfId="4" applyNumberFormat="1" applyFont="1" applyFill="1" applyBorder="1" applyProtection="1">
      <protection hidden="1"/>
    </xf>
    <xf numFmtId="0" fontId="15" fillId="0" borderId="82" xfId="4" applyFont="1" applyBorder="1" applyAlignment="1" applyProtection="1">
      <alignment horizontal="right"/>
      <protection hidden="1"/>
    </xf>
    <xf numFmtId="10" fontId="15" fillId="0" borderId="83" xfId="3" applyNumberFormat="1" applyFont="1" applyFill="1" applyBorder="1" applyAlignment="1" applyProtection="1">
      <alignment horizontal="right"/>
      <protection hidden="1"/>
    </xf>
    <xf numFmtId="10" fontId="15" fillId="0" borderId="84" xfId="4" applyNumberFormat="1" applyFont="1" applyBorder="1" applyAlignment="1" applyProtection="1">
      <alignment horizontal="right"/>
      <protection hidden="1"/>
    </xf>
    <xf numFmtId="10" fontId="15" fillId="3" borderId="14" xfId="3" applyNumberFormat="1" applyFont="1" applyFill="1" applyBorder="1" applyAlignment="1" applyProtection="1">
      <alignment horizontal="right"/>
      <protection locked="0" hidden="1"/>
    </xf>
    <xf numFmtId="10" fontId="15" fillId="0" borderId="86" xfId="4" applyNumberFormat="1" applyFont="1" applyBorder="1" applyAlignment="1" applyProtection="1">
      <alignment horizontal="right"/>
      <protection hidden="1"/>
    </xf>
    <xf numFmtId="10" fontId="15" fillId="3" borderId="15" xfId="3" applyNumberFormat="1" applyFont="1" applyFill="1" applyBorder="1" applyAlignment="1" applyProtection="1">
      <alignment horizontal="right"/>
      <protection locked="0" hidden="1"/>
    </xf>
    <xf numFmtId="10" fontId="15" fillId="0" borderId="88" xfId="4" applyNumberFormat="1" applyFont="1" applyBorder="1" applyAlignment="1" applyProtection="1">
      <alignment horizontal="right"/>
      <protection hidden="1"/>
    </xf>
    <xf numFmtId="10" fontId="15" fillId="3" borderId="16" xfId="3" applyNumberFormat="1" applyFont="1" applyFill="1" applyBorder="1" applyAlignment="1" applyProtection="1">
      <alignment horizontal="right"/>
      <protection locked="0" hidden="1"/>
    </xf>
    <xf numFmtId="0" fontId="15" fillId="0" borderId="0" xfId="4" applyFont="1" applyAlignment="1" applyProtection="1">
      <alignment horizontal="right"/>
      <protection hidden="1"/>
    </xf>
    <xf numFmtId="10" fontId="15" fillId="0" borderId="0" xfId="3" applyNumberFormat="1" applyFont="1" applyFill="1" applyBorder="1" applyAlignment="1" applyProtection="1">
      <alignment horizontal="right"/>
      <protection hidden="1"/>
    </xf>
    <xf numFmtId="10" fontId="15" fillId="0" borderId="14" xfId="3" applyNumberFormat="1" applyFont="1" applyFill="1" applyBorder="1" applyAlignment="1" applyProtection="1">
      <alignment horizontal="right"/>
      <protection hidden="1"/>
    </xf>
    <xf numFmtId="0" fontId="15" fillId="0" borderId="0" xfId="4" applyFont="1" applyAlignment="1" applyProtection="1">
      <alignment horizontal="center"/>
      <protection hidden="1"/>
    </xf>
    <xf numFmtId="168" fontId="15" fillId="0" borderId="84" xfId="4" applyNumberFormat="1" applyFont="1" applyBorder="1" applyAlignment="1" applyProtection="1">
      <alignment horizontal="center"/>
      <protection hidden="1"/>
    </xf>
    <xf numFmtId="168" fontId="15" fillId="0" borderId="86" xfId="4" applyNumberFormat="1" applyFont="1" applyBorder="1" applyAlignment="1" applyProtection="1">
      <alignment horizontal="center"/>
      <protection hidden="1"/>
    </xf>
    <xf numFmtId="165" fontId="15" fillId="0" borderId="86" xfId="4" applyNumberFormat="1" applyFont="1" applyBorder="1" applyAlignment="1" applyProtection="1">
      <alignment horizontal="center"/>
      <protection hidden="1"/>
    </xf>
    <xf numFmtId="0" fontId="15" fillId="0" borderId="86" xfId="4" applyFont="1" applyBorder="1" applyAlignment="1" applyProtection="1">
      <alignment horizontal="center"/>
      <protection hidden="1"/>
    </xf>
    <xf numFmtId="0" fontId="15" fillId="0" borderId="88" xfId="4" applyFont="1" applyBorder="1" applyAlignment="1" applyProtection="1">
      <alignment horizontal="center"/>
      <protection hidden="1"/>
    </xf>
    <xf numFmtId="0" fontId="15" fillId="0" borderId="84" xfId="4" applyFont="1" applyBorder="1" applyAlignment="1" applyProtection="1">
      <alignment horizontal="center"/>
      <protection hidden="1"/>
    </xf>
    <xf numFmtId="0" fontId="15" fillId="0" borderId="89" xfId="4" applyFont="1" applyBorder="1" applyAlignment="1" applyProtection="1">
      <alignment horizontal="center"/>
      <protection hidden="1"/>
    </xf>
    <xf numFmtId="10" fontId="15" fillId="3" borderId="1" xfId="3" applyNumberFormat="1" applyFont="1" applyFill="1" applyBorder="1" applyAlignment="1" applyProtection="1">
      <alignment horizontal="right"/>
      <protection locked="0" hidden="1"/>
    </xf>
    <xf numFmtId="0" fontId="15" fillId="0" borderId="93" xfId="4" applyFont="1" applyBorder="1" applyProtection="1">
      <protection hidden="1"/>
    </xf>
    <xf numFmtId="10" fontId="15" fillId="0" borderId="93" xfId="3" applyNumberFormat="1" applyFont="1" applyFill="1" applyBorder="1" applyAlignment="1" applyProtection="1">
      <alignment horizontal="right"/>
      <protection hidden="1"/>
    </xf>
    <xf numFmtId="0" fontId="14" fillId="2" borderId="35" xfId="0" applyFont="1" applyFill="1" applyBorder="1"/>
    <xf numFmtId="0" fontId="14" fillId="2" borderId="37" xfId="0" applyFont="1" applyFill="1" applyBorder="1"/>
    <xf numFmtId="0" fontId="14" fillId="2" borderId="123" xfId="0" applyFont="1" applyFill="1" applyBorder="1"/>
    <xf numFmtId="0" fontId="5" fillId="0" borderId="57" xfId="0" applyFont="1" applyBorder="1"/>
    <xf numFmtId="0" fontId="5" fillId="0" borderId="69" xfId="0" applyFont="1" applyBorder="1"/>
    <xf numFmtId="0" fontId="5" fillId="0" borderId="58" xfId="0" applyFont="1" applyBorder="1"/>
    <xf numFmtId="0" fontId="5" fillId="0" borderId="59" xfId="0" applyFont="1" applyBorder="1"/>
    <xf numFmtId="0" fontId="5" fillId="0" borderId="128" xfId="0" applyFont="1" applyBorder="1"/>
    <xf numFmtId="0" fontId="5" fillId="0" borderId="160" xfId="0" applyFont="1" applyBorder="1"/>
    <xf numFmtId="49" fontId="5" fillId="0" borderId="128" xfId="0" applyNumberFormat="1" applyFont="1" applyBorder="1" applyAlignment="1">
      <alignment vertical="center"/>
    </xf>
    <xf numFmtId="0" fontId="5" fillId="0" borderId="160" xfId="0" applyFont="1" applyBorder="1" applyAlignment="1">
      <alignment horizontal="right"/>
    </xf>
    <xf numFmtId="0" fontId="5" fillId="0" borderId="99" xfId="0" applyFont="1" applyBorder="1"/>
    <xf numFmtId="0" fontId="5" fillId="0" borderId="100" xfId="0" applyFont="1" applyBorder="1"/>
    <xf numFmtId="0" fontId="5" fillId="0" borderId="101" xfId="0" applyFont="1" applyBorder="1" applyAlignment="1">
      <alignment horizontal="right"/>
    </xf>
    <xf numFmtId="0" fontId="5" fillId="0" borderId="162" xfId="0" applyFont="1" applyBorder="1"/>
    <xf numFmtId="0" fontId="5" fillId="0" borderId="165" xfId="0" applyFont="1" applyBorder="1"/>
    <xf numFmtId="0" fontId="5" fillId="0" borderId="159" xfId="0" applyFont="1" applyBorder="1"/>
    <xf numFmtId="0" fontId="5" fillId="0" borderId="157" xfId="0" applyFont="1" applyBorder="1"/>
    <xf numFmtId="0" fontId="5" fillId="0" borderId="158" xfId="0" applyFont="1" applyBorder="1"/>
    <xf numFmtId="0" fontId="5" fillId="0" borderId="85" xfId="0" applyFont="1" applyBorder="1"/>
    <xf numFmtId="0" fontId="5" fillId="0" borderId="86" xfId="0" applyFont="1" applyBorder="1"/>
    <xf numFmtId="0" fontId="5" fillId="0" borderId="169" xfId="0" applyFont="1" applyBorder="1" applyAlignment="1">
      <alignment horizontal="right"/>
    </xf>
    <xf numFmtId="0" fontId="5" fillId="0" borderId="84" xfId="0" applyFont="1" applyBorder="1"/>
    <xf numFmtId="0" fontId="5" fillId="0" borderId="168" xfId="0" applyFont="1" applyBorder="1"/>
    <xf numFmtId="0" fontId="5" fillId="0" borderId="161" xfId="0" applyFont="1" applyBorder="1"/>
    <xf numFmtId="0" fontId="5" fillId="0" borderId="163" xfId="0" applyFont="1" applyBorder="1"/>
    <xf numFmtId="0" fontId="5" fillId="0" borderId="166" xfId="0" applyFont="1" applyBorder="1"/>
    <xf numFmtId="0" fontId="5" fillId="0" borderId="59" xfId="0" applyFont="1" applyBorder="1" applyAlignment="1">
      <alignment horizontal="right"/>
    </xf>
    <xf numFmtId="0" fontId="5" fillId="0" borderId="99" xfId="0" applyFont="1" applyBorder="1" applyAlignment="1">
      <alignment horizontal="right"/>
    </xf>
    <xf numFmtId="0" fontId="5" fillId="0" borderId="167" xfId="0" applyFont="1" applyBorder="1"/>
    <xf numFmtId="0" fontId="16" fillId="0" borderId="47" xfId="9" applyFont="1" applyBorder="1" applyProtection="1">
      <protection locked="0"/>
    </xf>
    <xf numFmtId="0" fontId="16" fillId="0" borderId="128" xfId="9" applyFont="1" applyBorder="1" applyProtection="1">
      <protection locked="0"/>
    </xf>
    <xf numFmtId="0" fontId="16" fillId="0" borderId="124" xfId="9" applyFont="1" applyBorder="1" applyAlignment="1" applyProtection="1">
      <alignment horizontal="center"/>
      <protection locked="0"/>
    </xf>
    <xf numFmtId="0" fontId="16" fillId="0" borderId="7" xfId="9" applyFont="1" applyBorder="1" applyAlignment="1" applyProtection="1">
      <alignment horizontal="center"/>
      <protection locked="0"/>
    </xf>
    <xf numFmtId="0" fontId="16" fillId="0" borderId="124" xfId="9" applyFont="1" applyFill="1" applyBorder="1" applyAlignment="1" applyProtection="1">
      <alignment horizontal="center"/>
      <protection locked="0"/>
    </xf>
    <xf numFmtId="0" fontId="16" fillId="0" borderId="7" xfId="9" applyFont="1" applyFill="1" applyBorder="1" applyAlignment="1" applyProtection="1">
      <alignment horizontal="center"/>
      <protection locked="0"/>
    </xf>
    <xf numFmtId="0" fontId="5" fillId="0" borderId="0" xfId="0" applyFont="1" applyAlignment="1">
      <alignment horizontal="center"/>
    </xf>
    <xf numFmtId="0" fontId="5" fillId="0" borderId="0" xfId="0" applyFont="1" applyAlignment="1" applyProtection="1">
      <alignment horizontal="center"/>
      <protection hidden="1"/>
    </xf>
    <xf numFmtId="0" fontId="17" fillId="0" borderId="0" xfId="0" applyFont="1" applyAlignment="1" applyProtection="1">
      <alignment horizontal="right"/>
      <protection hidden="1"/>
    </xf>
    <xf numFmtId="0" fontId="14" fillId="2" borderId="62" xfId="0" applyFont="1" applyFill="1" applyBorder="1" applyAlignment="1" applyProtection="1">
      <alignment horizontal="center" textRotation="90" wrapText="1"/>
      <protection hidden="1"/>
    </xf>
    <xf numFmtId="0" fontId="14" fillId="2" borderId="25" xfId="0" applyFont="1" applyFill="1" applyBorder="1" applyAlignment="1" applyProtection="1">
      <alignment horizontal="center" textRotation="90" wrapText="1"/>
      <protection hidden="1"/>
    </xf>
    <xf numFmtId="0" fontId="14" fillId="2" borderId="29" xfId="0" applyFont="1" applyFill="1" applyBorder="1" applyAlignment="1" applyProtection="1">
      <alignment horizontal="center" textRotation="90" wrapText="1"/>
      <protection hidden="1"/>
    </xf>
    <xf numFmtId="0" fontId="5" fillId="0" borderId="55" xfId="0" applyFont="1" applyBorder="1" applyAlignment="1" applyProtection="1">
      <alignment horizontal="left" vertical="center"/>
      <protection hidden="1"/>
    </xf>
    <xf numFmtId="43" fontId="5" fillId="0" borderId="57" xfId="1" applyFont="1" applyFill="1" applyBorder="1" applyProtection="1">
      <protection hidden="1"/>
    </xf>
    <xf numFmtId="43" fontId="5" fillId="0" borderId="69" xfId="1" applyFont="1" applyFill="1" applyBorder="1" applyProtection="1">
      <protection hidden="1"/>
    </xf>
    <xf numFmtId="43" fontId="5" fillId="0" borderId="67" xfId="1" applyFont="1" applyFill="1" applyBorder="1" applyProtection="1">
      <protection hidden="1"/>
    </xf>
    <xf numFmtId="0" fontId="5" fillId="0" borderId="97" xfId="0" applyFont="1" applyBorder="1" applyAlignment="1" applyProtection="1">
      <alignment horizontal="center"/>
      <protection hidden="1"/>
    </xf>
    <xf numFmtId="171" fontId="5" fillId="0" borderId="115" xfId="6" applyNumberFormat="1" applyFont="1" applyFill="1" applyBorder="1" applyProtection="1">
      <protection hidden="1"/>
    </xf>
    <xf numFmtId="171" fontId="5" fillId="0" borderId="69" xfId="6" applyNumberFormat="1" applyFont="1" applyFill="1" applyBorder="1" applyProtection="1">
      <protection hidden="1"/>
    </xf>
    <xf numFmtId="164" fontId="14" fillId="2" borderId="63" xfId="6" applyFont="1" applyFill="1" applyBorder="1" applyAlignment="1" applyProtection="1">
      <alignment vertical="center"/>
      <protection hidden="1"/>
    </xf>
    <xf numFmtId="44" fontId="5" fillId="0" borderId="0" xfId="0" applyNumberFormat="1" applyFont="1" applyProtection="1">
      <protection hidden="1"/>
    </xf>
    <xf numFmtId="0" fontId="5" fillId="8" borderId="116" xfId="0" applyFont="1" applyFill="1" applyBorder="1" applyProtection="1">
      <protection hidden="1"/>
    </xf>
    <xf numFmtId="43" fontId="5" fillId="8" borderId="116" xfId="1" applyFont="1" applyFill="1" applyBorder="1" applyProtection="1">
      <protection hidden="1"/>
    </xf>
    <xf numFmtId="43" fontId="5" fillId="8" borderId="1" xfId="1" applyFont="1" applyFill="1" applyBorder="1" applyProtection="1">
      <protection hidden="1"/>
    </xf>
    <xf numFmtId="43" fontId="5" fillId="8" borderId="117" xfId="1" applyFont="1" applyFill="1" applyBorder="1" applyProtection="1">
      <protection hidden="1"/>
    </xf>
    <xf numFmtId="0" fontId="5" fillId="8" borderId="31" xfId="0" applyFont="1" applyFill="1" applyBorder="1" applyAlignment="1" applyProtection="1">
      <alignment horizontal="center"/>
      <protection hidden="1"/>
    </xf>
    <xf numFmtId="171" fontId="5" fillId="8" borderId="118" xfId="6" applyNumberFormat="1" applyFont="1" applyFill="1" applyBorder="1" applyProtection="1">
      <protection hidden="1"/>
    </xf>
    <xf numFmtId="171" fontId="5" fillId="8" borderId="1" xfId="6" applyNumberFormat="1" applyFont="1" applyFill="1" applyBorder="1" applyProtection="1">
      <protection hidden="1"/>
    </xf>
    <xf numFmtId="164" fontId="14" fillId="2" borderId="31" xfId="6" applyFont="1" applyFill="1" applyBorder="1" applyAlignment="1" applyProtection="1">
      <alignment horizontal="right"/>
      <protection hidden="1"/>
    </xf>
    <xf numFmtId="164" fontId="5" fillId="0" borderId="0" xfId="0" applyNumberFormat="1" applyFont="1" applyProtection="1">
      <protection hidden="1"/>
    </xf>
    <xf numFmtId="0" fontId="5" fillId="0" borderId="116" xfId="0" applyFont="1" applyBorder="1" applyProtection="1">
      <protection hidden="1"/>
    </xf>
    <xf numFmtId="43" fontId="5" fillId="0" borderId="116" xfId="1" applyFont="1" applyFill="1" applyBorder="1" applyProtection="1">
      <protection hidden="1"/>
    </xf>
    <xf numFmtId="43" fontId="5" fillId="0" borderId="1" xfId="1" applyFont="1" applyFill="1" applyBorder="1" applyProtection="1">
      <protection hidden="1"/>
    </xf>
    <xf numFmtId="43" fontId="5" fillId="0" borderId="117" xfId="1" applyFont="1" applyFill="1" applyBorder="1" applyProtection="1">
      <protection hidden="1"/>
    </xf>
    <xf numFmtId="0" fontId="5" fillId="0" borderId="31" xfId="0" applyFont="1" applyBorder="1" applyAlignment="1" applyProtection="1">
      <alignment horizontal="center"/>
      <protection hidden="1"/>
    </xf>
    <xf numFmtId="171" fontId="5" fillId="0" borderId="118" xfId="6" applyNumberFormat="1" applyFont="1" applyFill="1" applyBorder="1" applyProtection="1">
      <protection hidden="1"/>
    </xf>
    <xf numFmtId="171" fontId="5" fillId="0" borderId="1" xfId="6" applyNumberFormat="1" applyFont="1" applyFill="1" applyBorder="1" applyProtection="1">
      <protection hidden="1"/>
    </xf>
    <xf numFmtId="0" fontId="5" fillId="0" borderId="39" xfId="0" applyFont="1" applyBorder="1" applyProtection="1">
      <protection hidden="1"/>
    </xf>
    <xf numFmtId="43" fontId="5" fillId="0" borderId="39" xfId="1" applyFont="1" applyFill="1" applyBorder="1" applyProtection="1">
      <protection hidden="1"/>
    </xf>
    <xf numFmtId="43" fontId="5" fillId="0" borderId="83" xfId="1" applyFont="1" applyFill="1" applyBorder="1" applyProtection="1">
      <protection hidden="1"/>
    </xf>
    <xf numFmtId="43" fontId="5" fillId="0" borderId="119" xfId="1" applyFont="1" applyFill="1" applyBorder="1" applyProtection="1">
      <protection hidden="1"/>
    </xf>
    <xf numFmtId="0" fontId="5" fillId="0" borderId="42" xfId="0" applyFont="1" applyBorder="1" applyAlignment="1" applyProtection="1">
      <alignment horizontal="center"/>
      <protection hidden="1"/>
    </xf>
    <xf numFmtId="171" fontId="5" fillId="0" borderId="120" xfId="6" applyNumberFormat="1" applyFont="1" applyFill="1" applyBorder="1" applyProtection="1">
      <protection hidden="1"/>
    </xf>
    <xf numFmtId="171" fontId="5" fillId="0" borderId="83" xfId="6" applyNumberFormat="1" applyFont="1" applyFill="1" applyBorder="1" applyProtection="1">
      <protection hidden="1"/>
    </xf>
    <xf numFmtId="0" fontId="5" fillId="8" borderId="39" xfId="0" applyFont="1" applyFill="1" applyBorder="1" applyAlignment="1" applyProtection="1">
      <alignment horizontal="left" vertical="center"/>
      <protection hidden="1"/>
    </xf>
    <xf numFmtId="43" fontId="5" fillId="8" borderId="61" xfId="1" applyFont="1" applyFill="1" applyBorder="1" applyProtection="1">
      <protection hidden="1"/>
    </xf>
    <xf numFmtId="43" fontId="5" fillId="8" borderId="14" xfId="1" applyFont="1" applyFill="1" applyBorder="1" applyProtection="1">
      <protection hidden="1"/>
    </xf>
    <xf numFmtId="43" fontId="5" fillId="8" borderId="9" xfId="1" applyFont="1" applyFill="1" applyBorder="1" applyProtection="1">
      <protection hidden="1"/>
    </xf>
    <xf numFmtId="0" fontId="5" fillId="8" borderId="30" xfId="0" applyFont="1" applyFill="1" applyBorder="1" applyAlignment="1" applyProtection="1">
      <alignment horizontal="center"/>
      <protection hidden="1"/>
    </xf>
    <xf numFmtId="171" fontId="5" fillId="8" borderId="121" xfId="6" applyNumberFormat="1" applyFont="1" applyFill="1" applyBorder="1" applyProtection="1">
      <protection hidden="1"/>
    </xf>
    <xf numFmtId="171" fontId="5" fillId="8" borderId="14" xfId="6" applyNumberFormat="1" applyFont="1" applyFill="1" applyBorder="1" applyProtection="1">
      <protection hidden="1"/>
    </xf>
    <xf numFmtId="164" fontId="14" fillId="2" borderId="42" xfId="6" applyFont="1" applyFill="1" applyBorder="1" applyAlignment="1" applyProtection="1">
      <alignment vertical="center"/>
      <protection hidden="1"/>
    </xf>
    <xf numFmtId="0" fontId="5" fillId="0" borderId="61" xfId="0" applyFont="1" applyBorder="1" applyProtection="1">
      <protection hidden="1"/>
    </xf>
    <xf numFmtId="43" fontId="5" fillId="0" borderId="61" xfId="1" applyFont="1" applyFill="1" applyBorder="1" applyProtection="1">
      <protection hidden="1"/>
    </xf>
    <xf numFmtId="43" fontId="5" fillId="0" borderId="14" xfId="1" applyFont="1" applyFill="1" applyBorder="1" applyProtection="1">
      <protection hidden="1"/>
    </xf>
    <xf numFmtId="43" fontId="5" fillId="0" borderId="9" xfId="1" applyFont="1" applyFill="1" applyBorder="1" applyProtection="1">
      <protection hidden="1"/>
    </xf>
    <xf numFmtId="0" fontId="5" fillId="0" borderId="30" xfId="0" applyFont="1" applyBorder="1" applyAlignment="1" applyProtection="1">
      <alignment horizontal="center"/>
      <protection hidden="1"/>
    </xf>
    <xf numFmtId="171" fontId="5" fillId="0" borderId="121" xfId="6" applyNumberFormat="1" applyFont="1" applyFill="1" applyBorder="1" applyProtection="1">
      <protection hidden="1"/>
    </xf>
    <xf numFmtId="171" fontId="5" fillId="0" borderId="14" xfId="6" applyNumberFormat="1" applyFont="1" applyFill="1" applyBorder="1" applyProtection="1">
      <protection hidden="1"/>
    </xf>
    <xf numFmtId="164" fontId="14" fillId="2" borderId="31" xfId="6" applyFont="1" applyFill="1" applyBorder="1" applyAlignment="1" applyProtection="1">
      <alignment vertical="center"/>
      <protection hidden="1"/>
    </xf>
    <xf numFmtId="0" fontId="5" fillId="0" borderId="39" xfId="0" applyFont="1" applyBorder="1" applyAlignment="1" applyProtection="1">
      <alignment horizontal="left" vertical="center"/>
      <protection hidden="1"/>
    </xf>
    <xf numFmtId="0" fontId="5" fillId="8" borderId="61" xfId="0" applyFont="1" applyFill="1" applyBorder="1" applyProtection="1">
      <protection hidden="1"/>
    </xf>
    <xf numFmtId="0" fontId="5" fillId="0" borderId="116" xfId="0" applyFont="1" applyFill="1" applyBorder="1" applyProtection="1">
      <protection hidden="1"/>
    </xf>
    <xf numFmtId="0" fontId="5" fillId="0" borderId="31" xfId="0" applyFont="1" applyFill="1" applyBorder="1" applyAlignment="1" applyProtection="1">
      <alignment horizontal="center"/>
      <protection hidden="1"/>
    </xf>
    <xf numFmtId="0" fontId="5" fillId="8" borderId="39" xfId="0" applyFont="1" applyFill="1" applyBorder="1" applyProtection="1">
      <protection hidden="1"/>
    </xf>
    <xf numFmtId="43" fontId="5" fillId="8" borderId="39" xfId="1" applyFont="1" applyFill="1" applyBorder="1" applyProtection="1">
      <protection hidden="1"/>
    </xf>
    <xf numFmtId="43" fontId="5" fillId="8" borderId="83" xfId="1" applyFont="1" applyFill="1" applyBorder="1" applyProtection="1">
      <protection hidden="1"/>
    </xf>
    <xf numFmtId="43" fontId="5" fillId="8" borderId="119" xfId="1" applyFont="1" applyFill="1" applyBorder="1" applyProtection="1">
      <protection hidden="1"/>
    </xf>
    <xf numFmtId="0" fontId="5" fillId="8" borderId="42" xfId="0" applyFont="1" applyFill="1" applyBorder="1" applyAlignment="1" applyProtection="1">
      <alignment horizontal="center"/>
      <protection hidden="1"/>
    </xf>
    <xf numFmtId="171" fontId="5" fillId="8" borderId="120" xfId="6" applyNumberFormat="1" applyFont="1" applyFill="1" applyBorder="1" applyProtection="1">
      <protection hidden="1"/>
    </xf>
    <xf numFmtId="171" fontId="5" fillId="8" borderId="83" xfId="6" applyNumberFormat="1" applyFont="1" applyFill="1" applyBorder="1" applyProtection="1">
      <protection hidden="1"/>
    </xf>
    <xf numFmtId="0" fontId="5" fillId="0" borderId="30" xfId="0" applyFont="1" applyFill="1" applyBorder="1" applyAlignment="1" applyProtection="1">
      <alignment horizontal="center"/>
      <protection hidden="1"/>
    </xf>
    <xf numFmtId="0" fontId="14" fillId="2" borderId="44" xfId="0" applyFont="1" applyFill="1" applyBorder="1" applyAlignment="1" applyProtection="1">
      <alignment vertical="center"/>
      <protection hidden="1"/>
    </xf>
    <xf numFmtId="169" fontId="14" fillId="2" borderId="35" xfId="0" applyNumberFormat="1" applyFont="1" applyFill="1" applyBorder="1" applyAlignment="1" applyProtection="1">
      <alignment vertical="center"/>
      <protection hidden="1"/>
    </xf>
    <xf numFmtId="169" fontId="14" fillId="2" borderId="37" xfId="0" applyNumberFormat="1" applyFont="1" applyFill="1" applyBorder="1" applyAlignment="1" applyProtection="1">
      <alignment vertical="center"/>
      <protection hidden="1"/>
    </xf>
    <xf numFmtId="169" fontId="14" fillId="2" borderId="122" xfId="0" applyNumberFormat="1" applyFont="1" applyFill="1" applyBorder="1" applyAlignment="1" applyProtection="1">
      <alignment vertical="center"/>
      <protection hidden="1"/>
    </xf>
    <xf numFmtId="169" fontId="14" fillId="2" borderId="17" xfId="0" applyNumberFormat="1" applyFont="1" applyFill="1" applyBorder="1" applyAlignment="1" applyProtection="1">
      <alignment horizontal="center"/>
      <protection hidden="1"/>
    </xf>
    <xf numFmtId="171" fontId="14" fillId="2" borderId="45" xfId="6" applyNumberFormat="1" applyFont="1" applyFill="1" applyBorder="1" applyAlignment="1" applyProtection="1">
      <alignment vertical="center"/>
      <protection hidden="1"/>
    </xf>
    <xf numFmtId="171" fontId="14" fillId="2" borderId="37" xfId="6" applyNumberFormat="1" applyFont="1" applyFill="1" applyBorder="1" applyAlignment="1" applyProtection="1">
      <alignment vertical="center"/>
      <protection hidden="1"/>
    </xf>
    <xf numFmtId="171" fontId="14" fillId="2" borderId="123" xfId="6" applyNumberFormat="1" applyFont="1" applyFill="1" applyBorder="1" applyAlignment="1" applyProtection="1">
      <alignment vertical="center"/>
      <protection hidden="1"/>
    </xf>
    <xf numFmtId="169" fontId="14" fillId="2" borderId="45" xfId="0" applyNumberFormat="1" applyFont="1" applyFill="1" applyBorder="1" applyAlignment="1" applyProtection="1">
      <alignment vertical="center"/>
      <protection hidden="1"/>
    </xf>
    <xf numFmtId="0" fontId="5" fillId="0" borderId="0" xfId="0" applyFont="1" applyAlignment="1" applyProtection="1">
      <alignment vertical="center"/>
      <protection hidden="1"/>
    </xf>
    <xf numFmtId="0" fontId="5" fillId="0" borderId="0" xfId="7" applyFont="1" applyProtection="1">
      <protection hidden="1"/>
    </xf>
    <xf numFmtId="0" fontId="14" fillId="2" borderId="55" xfId="7" applyFont="1" applyFill="1" applyBorder="1" applyAlignment="1" applyProtection="1">
      <alignment horizontal="center" vertical="center" wrapText="1"/>
      <protection hidden="1"/>
    </xf>
    <xf numFmtId="164" fontId="14" fillId="2" borderId="56" xfId="8" applyFont="1" applyFill="1" applyBorder="1" applyAlignment="1" applyProtection="1">
      <alignment horizontal="center" vertical="center" wrapText="1"/>
      <protection hidden="1"/>
    </xf>
    <xf numFmtId="0" fontId="14" fillId="2" borderId="103" xfId="7" applyFont="1" applyFill="1" applyBorder="1" applyProtection="1">
      <protection hidden="1"/>
    </xf>
    <xf numFmtId="164" fontId="6" fillId="2" borderId="104" xfId="8" applyFont="1" applyFill="1" applyBorder="1" applyAlignment="1" applyProtection="1">
      <protection hidden="1"/>
    </xf>
    <xf numFmtId="0" fontId="16" fillId="0" borderId="105" xfId="7" applyFont="1" applyBorder="1" applyProtection="1">
      <protection hidden="1"/>
    </xf>
    <xf numFmtId="0" fontId="16" fillId="0" borderId="107" xfId="7" applyFont="1" applyBorder="1" applyProtection="1">
      <protection hidden="1"/>
    </xf>
    <xf numFmtId="0" fontId="16" fillId="0" borderId="109" xfId="7" applyFont="1" applyBorder="1" applyProtection="1">
      <protection hidden="1"/>
    </xf>
    <xf numFmtId="0" fontId="16" fillId="7" borderId="105" xfId="7" applyFont="1" applyFill="1" applyBorder="1" applyProtection="1">
      <protection hidden="1"/>
    </xf>
    <xf numFmtId="0" fontId="16" fillId="7" borderId="107" xfId="7" applyFont="1" applyFill="1" applyBorder="1" applyProtection="1">
      <protection hidden="1"/>
    </xf>
    <xf numFmtId="0" fontId="16" fillId="7" borderId="109" xfId="7" applyFont="1" applyFill="1" applyBorder="1" applyProtection="1">
      <protection hidden="1"/>
    </xf>
    <xf numFmtId="0" fontId="16" fillId="0" borderId="111" xfId="7" applyFont="1" applyBorder="1" applyProtection="1">
      <protection hidden="1"/>
    </xf>
    <xf numFmtId="167" fontId="5" fillId="0" borderId="0" xfId="0" applyNumberFormat="1" applyFont="1" applyProtection="1">
      <protection hidden="1"/>
    </xf>
    <xf numFmtId="0" fontId="14" fillId="2" borderId="35" xfId="0" applyFont="1" applyFill="1" applyBorder="1" applyProtection="1">
      <protection hidden="1"/>
    </xf>
    <xf numFmtId="0" fontId="14" fillId="2" borderId="37" xfId="0" applyFont="1" applyFill="1" applyBorder="1" applyProtection="1">
      <protection hidden="1"/>
    </xf>
    <xf numFmtId="0" fontId="14" fillId="2" borderId="48" xfId="0" applyFont="1" applyFill="1" applyBorder="1" applyAlignment="1" applyProtection="1">
      <alignment horizontal="center" textRotation="90"/>
      <protection hidden="1"/>
    </xf>
    <xf numFmtId="0" fontId="14" fillId="2" borderId="33" xfId="0" applyFont="1" applyFill="1" applyBorder="1" applyAlignment="1" applyProtection="1">
      <alignment horizontal="center" textRotation="90"/>
      <protection hidden="1"/>
    </xf>
    <xf numFmtId="0" fontId="14" fillId="2" borderId="49" xfId="0" applyFont="1" applyFill="1" applyBorder="1" applyAlignment="1" applyProtection="1">
      <alignment horizontal="center" textRotation="90"/>
      <protection hidden="1"/>
    </xf>
    <xf numFmtId="0" fontId="14" fillId="2" borderId="49" xfId="0" applyFont="1" applyFill="1" applyBorder="1" applyAlignment="1" applyProtection="1">
      <alignment horizontal="center" textRotation="90" wrapText="1"/>
      <protection hidden="1"/>
    </xf>
    <xf numFmtId="0" fontId="14" fillId="2" borderId="17" xfId="0" applyFont="1" applyFill="1" applyBorder="1" applyAlignment="1" applyProtection="1">
      <alignment horizontal="center" textRotation="90" wrapText="1"/>
      <protection hidden="1"/>
    </xf>
    <xf numFmtId="0" fontId="5" fillId="0" borderId="79" xfId="0" applyFont="1" applyBorder="1" applyAlignment="1" applyProtection="1">
      <alignment horizontal="center"/>
      <protection hidden="1"/>
    </xf>
    <xf numFmtId="43" fontId="5" fillId="0" borderId="148" xfId="1" applyFont="1" applyBorder="1" applyProtection="1">
      <protection locked="0" hidden="1"/>
    </xf>
    <xf numFmtId="43" fontId="5" fillId="0" borderId="149" xfId="1" applyFont="1" applyBorder="1" applyProtection="1">
      <protection locked="0" hidden="1"/>
    </xf>
    <xf numFmtId="43" fontId="5" fillId="0" borderId="149" xfId="1" applyFont="1" applyBorder="1" applyProtection="1">
      <protection hidden="1"/>
    </xf>
    <xf numFmtId="43" fontId="5" fillId="0" borderId="152" xfId="1" applyFont="1" applyBorder="1" applyProtection="1">
      <protection locked="0" hidden="1"/>
    </xf>
    <xf numFmtId="0" fontId="5" fillId="0" borderId="4" xfId="0" applyFont="1" applyBorder="1" applyAlignment="1" applyProtection="1">
      <alignment horizontal="center"/>
      <protection hidden="1"/>
    </xf>
    <xf numFmtId="43" fontId="5" fillId="0" borderId="126" xfId="1" applyFont="1" applyBorder="1" applyProtection="1">
      <protection locked="0" hidden="1"/>
    </xf>
    <xf numFmtId="43" fontId="5" fillId="0" borderId="125" xfId="1" applyFont="1" applyBorder="1" applyProtection="1">
      <protection locked="0" hidden="1"/>
    </xf>
    <xf numFmtId="43" fontId="5" fillId="0" borderId="125" xfId="1" applyFont="1" applyBorder="1" applyProtection="1">
      <protection hidden="1"/>
    </xf>
    <xf numFmtId="43" fontId="5" fillId="0" borderId="143" xfId="1" applyFont="1" applyBorder="1" applyProtection="1">
      <protection locked="0" hidden="1"/>
    </xf>
    <xf numFmtId="43" fontId="5" fillId="0" borderId="13" xfId="1" applyFont="1" applyBorder="1" applyProtection="1">
      <protection locked="0" hidden="1"/>
    </xf>
    <xf numFmtId="43" fontId="5" fillId="0" borderId="8" xfId="1" applyFont="1" applyBorder="1" applyProtection="1">
      <protection locked="0" hidden="1"/>
    </xf>
    <xf numFmtId="43" fontId="5" fillId="0" borderId="8" xfId="1" applyFont="1" applyBorder="1" applyProtection="1">
      <protection hidden="1"/>
    </xf>
    <xf numFmtId="43" fontId="5" fillId="0" borderId="12" xfId="1" applyFont="1" applyBorder="1" applyProtection="1">
      <protection locked="0" hidden="1"/>
    </xf>
    <xf numFmtId="43" fontId="5" fillId="0" borderId="13" xfId="1" applyFont="1" applyBorder="1" applyProtection="1">
      <protection hidden="1"/>
    </xf>
    <xf numFmtId="0" fontId="14" fillId="2" borderId="44" xfId="0" applyFont="1" applyFill="1" applyBorder="1" applyProtection="1">
      <protection hidden="1"/>
    </xf>
    <xf numFmtId="0" fontId="14" fillId="2" borderId="45" xfId="0" applyFont="1" applyFill="1" applyBorder="1" applyProtection="1">
      <protection hidden="1"/>
    </xf>
    <xf numFmtId="43" fontId="14" fillId="2" borderId="36" xfId="1" applyFont="1" applyFill="1" applyBorder="1" applyProtection="1">
      <protection hidden="1"/>
    </xf>
    <xf numFmtId="43" fontId="14" fillId="2" borderId="33" xfId="1" applyFont="1" applyFill="1" applyBorder="1" applyProtection="1">
      <protection hidden="1"/>
    </xf>
    <xf numFmtId="43" fontId="14" fillId="2" borderId="49" xfId="1" applyFont="1" applyFill="1" applyBorder="1" applyProtection="1">
      <protection hidden="1"/>
    </xf>
    <xf numFmtId="43" fontId="14" fillId="2" borderId="34" xfId="1" applyFont="1" applyFill="1" applyBorder="1" applyProtection="1">
      <protection hidden="1"/>
    </xf>
    <xf numFmtId="43" fontId="14" fillId="2" borderId="17" xfId="1" applyFont="1" applyFill="1" applyBorder="1" applyProtection="1">
      <protection hidden="1"/>
    </xf>
    <xf numFmtId="43" fontId="5" fillId="0" borderId="0" xfId="0" applyNumberFormat="1" applyFont="1" applyProtection="1">
      <protection hidden="1"/>
    </xf>
    <xf numFmtId="0" fontId="5" fillId="0" borderId="147" xfId="0" applyFont="1" applyBorder="1" applyProtection="1">
      <protection hidden="1"/>
    </xf>
    <xf numFmtId="0" fontId="5" fillId="0" borderId="79" xfId="0" applyFont="1" applyBorder="1" applyProtection="1">
      <protection hidden="1"/>
    </xf>
    <xf numFmtId="43" fontId="5" fillId="0" borderId="148" xfId="1" applyFont="1" applyBorder="1" applyProtection="1">
      <protection hidden="1"/>
    </xf>
    <xf numFmtId="43" fontId="5" fillId="0" borderId="150" xfId="1" applyFont="1" applyBorder="1" applyProtection="1">
      <protection hidden="1"/>
    </xf>
    <xf numFmtId="43" fontId="5" fillId="0" borderId="138" xfId="1" applyFont="1" applyBorder="1" applyProtection="1">
      <protection hidden="1"/>
    </xf>
    <xf numFmtId="0" fontId="5" fillId="0" borderId="1" xfId="0" applyFont="1" applyBorder="1" applyProtection="1">
      <protection hidden="1"/>
    </xf>
    <xf numFmtId="43" fontId="5" fillId="0" borderId="151" xfId="1" applyFont="1" applyBorder="1" applyProtection="1">
      <protection hidden="1"/>
    </xf>
    <xf numFmtId="43" fontId="5" fillId="0" borderId="31" xfId="1" applyFont="1" applyBorder="1" applyProtection="1">
      <protection hidden="1"/>
    </xf>
    <xf numFmtId="10" fontId="5" fillId="0" borderId="0" xfId="3" applyNumberFormat="1" applyFont="1" applyFill="1" applyProtection="1">
      <protection hidden="1"/>
    </xf>
    <xf numFmtId="2" fontId="14" fillId="2" borderId="77" xfId="4" applyNumberFormat="1" applyFont="1" applyFill="1" applyBorder="1" applyProtection="1">
      <protection hidden="1"/>
    </xf>
    <xf numFmtId="164" fontId="18" fillId="3" borderId="80" xfId="6" applyFont="1" applyFill="1" applyBorder="1" applyProtection="1">
      <protection locked="0" hidden="1"/>
    </xf>
    <xf numFmtId="0" fontId="18" fillId="4" borderId="22" xfId="4" applyFont="1" applyFill="1" applyBorder="1" applyProtection="1">
      <protection hidden="1"/>
    </xf>
    <xf numFmtId="164" fontId="15" fillId="4" borderId="23" xfId="6" applyFont="1" applyFill="1" applyBorder="1" applyProtection="1">
      <protection hidden="1"/>
    </xf>
    <xf numFmtId="0" fontId="14" fillId="2" borderId="24" xfId="4" applyFont="1" applyFill="1" applyBorder="1" applyProtection="1">
      <protection hidden="1"/>
    </xf>
    <xf numFmtId="0" fontId="16" fillId="0" borderId="0" xfId="4" applyFont="1" applyFill="1" applyBorder="1" applyProtection="1">
      <protection hidden="1"/>
    </xf>
    <xf numFmtId="164" fontId="16" fillId="0" borderId="0" xfId="6" applyFont="1" applyFill="1" applyBorder="1" applyAlignment="1" applyProtection="1">
      <alignment horizontal="center"/>
      <protection hidden="1"/>
    </xf>
    <xf numFmtId="0" fontId="5" fillId="0" borderId="0" xfId="0" applyFont="1" applyFill="1" applyProtection="1">
      <protection hidden="1"/>
    </xf>
    <xf numFmtId="0" fontId="14" fillId="2" borderId="44" xfId="4" applyFont="1" applyFill="1" applyBorder="1" applyAlignment="1" applyProtection="1">
      <alignment horizontal="centerContinuous"/>
      <protection hidden="1"/>
    </xf>
    <xf numFmtId="0" fontId="14" fillId="2" borderId="66" xfId="4" applyFont="1" applyFill="1" applyBorder="1" applyAlignment="1" applyProtection="1">
      <alignment horizontal="centerContinuous"/>
      <protection hidden="1"/>
    </xf>
    <xf numFmtId="0" fontId="14" fillId="2" borderId="54" xfId="4" applyFont="1" applyFill="1" applyBorder="1" applyAlignment="1" applyProtection="1">
      <alignment horizontal="centerContinuous"/>
      <protection hidden="1"/>
    </xf>
    <xf numFmtId="0" fontId="14" fillId="2" borderId="97" xfId="4" applyFont="1" applyFill="1" applyBorder="1" applyProtection="1">
      <protection hidden="1"/>
    </xf>
    <xf numFmtId="164" fontId="14" fillId="2" borderId="37" xfId="6" applyFont="1" applyFill="1" applyBorder="1" applyAlignment="1" applyProtection="1">
      <alignment horizontal="center"/>
      <protection hidden="1"/>
    </xf>
    <xf numFmtId="164" fontId="14" fillId="2" borderId="123" xfId="6" applyFont="1" applyFill="1" applyBorder="1" applyAlignment="1" applyProtection="1">
      <alignment horizontal="center"/>
      <protection hidden="1"/>
    </xf>
    <xf numFmtId="0" fontId="14" fillId="2" borderId="98" xfId="4" applyFont="1" applyFill="1" applyBorder="1" applyProtection="1">
      <protection hidden="1"/>
    </xf>
    <xf numFmtId="9" fontId="16" fillId="0" borderId="69" xfId="3" applyFont="1" applyFill="1" applyBorder="1" applyAlignment="1" applyProtection="1">
      <alignment horizontal="center"/>
      <protection hidden="1"/>
    </xf>
    <xf numFmtId="9" fontId="16" fillId="0" borderId="58" xfId="3" applyFont="1" applyFill="1" applyBorder="1" applyAlignment="1" applyProtection="1">
      <alignment horizontal="center"/>
      <protection hidden="1"/>
    </xf>
    <xf numFmtId="9" fontId="16" fillId="8" borderId="128" xfId="3" applyFont="1" applyFill="1" applyBorder="1" applyAlignment="1" applyProtection="1">
      <alignment horizontal="center"/>
      <protection hidden="1"/>
    </xf>
    <xf numFmtId="9" fontId="16" fillId="8" borderId="160" xfId="3" applyFont="1" applyFill="1" applyBorder="1" applyAlignment="1" applyProtection="1">
      <alignment horizontal="center"/>
      <protection hidden="1"/>
    </xf>
    <xf numFmtId="0" fontId="14" fillId="2" borderId="102" xfId="4" applyFont="1" applyFill="1" applyBorder="1" applyProtection="1">
      <protection hidden="1"/>
    </xf>
    <xf numFmtId="9" fontId="16" fillId="0" borderId="100" xfId="3" applyFont="1" applyFill="1" applyBorder="1" applyAlignment="1" applyProtection="1">
      <alignment horizontal="center"/>
      <protection hidden="1"/>
    </xf>
    <xf numFmtId="9" fontId="16" fillId="0" borderId="101" xfId="3" applyFont="1" applyFill="1" applyBorder="1" applyAlignment="1" applyProtection="1">
      <alignment horizontal="center"/>
      <protection hidden="1"/>
    </xf>
    <xf numFmtId="0" fontId="14" fillId="2" borderId="162" xfId="4" applyFont="1" applyFill="1" applyBorder="1" applyProtection="1">
      <protection hidden="1"/>
    </xf>
    <xf numFmtId="0" fontId="14" fillId="2" borderId="85" xfId="4" applyFont="1" applyFill="1" applyBorder="1" applyProtection="1">
      <protection hidden="1"/>
    </xf>
    <xf numFmtId="0" fontId="14" fillId="2" borderId="163" xfId="4" applyFont="1" applyFill="1" applyBorder="1" applyProtection="1">
      <protection hidden="1"/>
    </xf>
    <xf numFmtId="0" fontId="16" fillId="0" borderId="0" xfId="0" applyFont="1" applyProtection="1">
      <protection hidden="1"/>
    </xf>
    <xf numFmtId="10" fontId="16" fillId="0" borderId="0" xfId="0" applyNumberFormat="1" applyFont="1" applyProtection="1">
      <protection hidden="1"/>
    </xf>
    <xf numFmtId="0" fontId="14" fillId="2" borderId="44" xfId="0" applyFont="1" applyFill="1" applyBorder="1" applyAlignment="1" applyProtection="1">
      <alignment vertical="center" wrapText="1"/>
      <protection hidden="1"/>
    </xf>
    <xf numFmtId="0" fontId="14" fillId="2" borderId="66" xfId="0" applyFont="1" applyFill="1" applyBorder="1" applyAlignment="1" applyProtection="1">
      <alignment horizontal="center" vertical="center" wrapText="1"/>
      <protection hidden="1"/>
    </xf>
    <xf numFmtId="0" fontId="14" fillId="2" borderId="54" xfId="0" applyFont="1" applyFill="1" applyBorder="1" applyAlignment="1" applyProtection="1">
      <alignment horizontal="center" vertical="center" wrapText="1"/>
      <protection hidden="1"/>
    </xf>
    <xf numFmtId="10" fontId="5" fillId="0" borderId="57" xfId="0" applyNumberFormat="1" applyFont="1" applyFill="1" applyBorder="1" applyProtection="1">
      <protection hidden="1"/>
    </xf>
    <xf numFmtId="9" fontId="5" fillId="5" borderId="69" xfId="0" applyNumberFormat="1" applyFont="1" applyFill="1" applyBorder="1" applyAlignment="1" applyProtection="1">
      <alignment horizontal="center"/>
      <protection locked="0" hidden="1"/>
    </xf>
    <xf numFmtId="164" fontId="5" fillId="5" borderId="67" xfId="0" applyNumberFormat="1" applyFont="1" applyFill="1" applyBorder="1" applyAlignment="1" applyProtection="1">
      <alignment horizontal="center"/>
      <protection locked="0" hidden="1"/>
    </xf>
    <xf numFmtId="164" fontId="5" fillId="0" borderId="58" xfId="0" applyNumberFormat="1" applyFont="1" applyBorder="1" applyProtection="1">
      <protection hidden="1"/>
    </xf>
    <xf numFmtId="10" fontId="5" fillId="0" borderId="59" xfId="0" applyNumberFormat="1" applyFont="1" applyFill="1" applyBorder="1" applyProtection="1">
      <protection hidden="1"/>
    </xf>
    <xf numFmtId="9" fontId="5" fillId="5" borderId="15" xfId="0" applyNumberFormat="1" applyFont="1" applyFill="1" applyBorder="1" applyAlignment="1" applyProtection="1">
      <alignment horizontal="center"/>
      <protection locked="0" hidden="1"/>
    </xf>
    <xf numFmtId="164" fontId="5" fillId="5" borderId="130" xfId="0" applyNumberFormat="1" applyFont="1" applyFill="1" applyBorder="1" applyAlignment="1" applyProtection="1">
      <alignment horizontal="center"/>
      <protection locked="0" hidden="1"/>
    </xf>
    <xf numFmtId="164" fontId="5" fillId="0" borderId="20" xfId="0" applyNumberFormat="1" applyFont="1" applyBorder="1" applyProtection="1">
      <protection hidden="1"/>
    </xf>
    <xf numFmtId="9" fontId="14" fillId="2" borderId="66" xfId="0" applyNumberFormat="1" applyFont="1" applyFill="1" applyBorder="1" applyAlignment="1" applyProtection="1">
      <alignment horizontal="center"/>
      <protection hidden="1"/>
    </xf>
    <xf numFmtId="164" fontId="14" fillId="2" borderId="54" xfId="6" applyFont="1" applyFill="1" applyBorder="1" applyProtection="1">
      <protection hidden="1"/>
    </xf>
    <xf numFmtId="0" fontId="5" fillId="0" borderId="44" xfId="0" applyNumberFormat="1" applyFont="1" applyBorder="1" applyAlignment="1" applyProtection="1">
      <alignment horizontal="centerContinuous"/>
      <protection hidden="1"/>
    </xf>
    <xf numFmtId="0" fontId="5" fillId="0" borderId="66" xfId="0" applyNumberFormat="1" applyFont="1" applyBorder="1" applyAlignment="1" applyProtection="1">
      <alignment horizontal="centerContinuous"/>
      <protection hidden="1"/>
    </xf>
    <xf numFmtId="0" fontId="5" fillId="0" borderId="66" xfId="0" applyFont="1" applyBorder="1" applyAlignment="1" applyProtection="1">
      <alignment horizontal="centerContinuous"/>
      <protection hidden="1"/>
    </xf>
    <xf numFmtId="0" fontId="5" fillId="0" borderId="54" xfId="0" applyFont="1" applyBorder="1" applyAlignment="1" applyProtection="1">
      <alignment horizontal="centerContinuous"/>
      <protection hidden="1"/>
    </xf>
    <xf numFmtId="0" fontId="14" fillId="2" borderId="55" xfId="0" applyNumberFormat="1" applyFont="1" applyFill="1" applyBorder="1" applyAlignment="1" applyProtection="1">
      <alignment horizontal="center" textRotation="90"/>
      <protection hidden="1"/>
    </xf>
    <xf numFmtId="0" fontId="14" fillId="2" borderId="56" xfId="0" applyNumberFormat="1" applyFont="1" applyFill="1" applyBorder="1" applyAlignment="1" applyProtection="1">
      <alignment horizontal="center" textRotation="90"/>
      <protection hidden="1"/>
    </xf>
    <xf numFmtId="0" fontId="14" fillId="2" borderId="64" xfId="0" applyFont="1" applyFill="1" applyBorder="1" applyAlignment="1" applyProtection="1">
      <alignment horizontal="center" textRotation="90"/>
      <protection hidden="1"/>
    </xf>
    <xf numFmtId="0" fontId="14" fillId="2" borderId="65" xfId="0" applyFont="1" applyFill="1" applyBorder="1" applyAlignment="1" applyProtection="1">
      <alignment horizontal="center" textRotation="90"/>
      <protection hidden="1"/>
    </xf>
    <xf numFmtId="0" fontId="14" fillId="2" borderId="70" xfId="0" applyFont="1" applyFill="1" applyBorder="1" applyAlignment="1" applyProtection="1">
      <alignment horizontal="center" textRotation="90"/>
      <protection hidden="1"/>
    </xf>
    <xf numFmtId="0" fontId="14" fillId="2" borderId="50" xfId="0" applyFont="1" applyFill="1" applyBorder="1" applyAlignment="1" applyProtection="1">
      <alignment horizontal="center" textRotation="90"/>
      <protection hidden="1"/>
    </xf>
    <xf numFmtId="0" fontId="6" fillId="2" borderId="63" xfId="0" applyFont="1" applyFill="1" applyBorder="1" applyAlignment="1" applyProtection="1">
      <alignment horizontal="center" textRotation="90"/>
      <protection hidden="1"/>
    </xf>
    <xf numFmtId="0" fontId="5" fillId="0" borderId="131" xfId="0" applyFont="1" applyFill="1" applyBorder="1" applyAlignment="1" applyProtection="1">
      <alignment horizontal="center"/>
      <protection hidden="1"/>
    </xf>
    <xf numFmtId="43" fontId="5" fillId="0" borderId="156" xfId="1" applyFont="1" applyBorder="1" applyProtection="1">
      <protection locked="0" hidden="1"/>
    </xf>
    <xf numFmtId="0" fontId="5" fillId="0" borderId="57" xfId="0" applyNumberFormat="1" applyFont="1" applyBorder="1" applyProtection="1">
      <protection hidden="1"/>
    </xf>
    <xf numFmtId="0" fontId="5" fillId="0" borderId="67" xfId="0" applyNumberFormat="1" applyFont="1" applyBorder="1" applyAlignment="1" applyProtection="1">
      <alignment horizontal="center"/>
      <protection hidden="1"/>
    </xf>
    <xf numFmtId="43" fontId="5" fillId="0" borderId="57" xfId="0" applyNumberFormat="1" applyFont="1" applyBorder="1" applyProtection="1">
      <protection hidden="1"/>
    </xf>
    <xf numFmtId="43" fontId="5" fillId="0" borderId="69" xfId="0" applyNumberFormat="1" applyFont="1" applyBorder="1" applyProtection="1">
      <protection hidden="1"/>
    </xf>
    <xf numFmtId="43" fontId="5" fillId="0" borderId="67" xfId="0" applyNumberFormat="1" applyFont="1" applyBorder="1" applyProtection="1">
      <protection hidden="1"/>
    </xf>
    <xf numFmtId="43" fontId="5" fillId="0" borderId="58" xfId="0" applyNumberFormat="1" applyFont="1" applyBorder="1" applyProtection="1">
      <protection hidden="1"/>
    </xf>
    <xf numFmtId="43" fontId="5" fillId="0" borderId="127" xfId="1" applyFont="1" applyBorder="1" applyProtection="1">
      <protection locked="0" hidden="1"/>
    </xf>
    <xf numFmtId="0" fontId="5" fillId="0" borderId="139" xfId="0" applyNumberFormat="1" applyFont="1" applyBorder="1" applyProtection="1">
      <protection hidden="1"/>
    </xf>
    <xf numFmtId="0" fontId="5" fillId="0" borderId="140" xfId="0" applyNumberFormat="1" applyFont="1" applyBorder="1" applyAlignment="1" applyProtection="1">
      <alignment horizontal="center"/>
      <protection hidden="1"/>
    </xf>
    <xf numFmtId="43" fontId="5" fillId="0" borderId="139" xfId="0" applyNumberFormat="1" applyFont="1" applyBorder="1" applyProtection="1">
      <protection hidden="1"/>
    </xf>
    <xf numFmtId="43" fontId="5" fillId="0" borderId="46" xfId="0" applyNumberFormat="1" applyFont="1" applyBorder="1" applyProtection="1">
      <protection hidden="1"/>
    </xf>
    <xf numFmtId="43" fontId="5" fillId="0" borderId="140" xfId="0" applyNumberFormat="1" applyFont="1" applyBorder="1" applyProtection="1">
      <protection hidden="1"/>
    </xf>
    <xf numFmtId="43" fontId="5" fillId="0" borderId="141" xfId="0" applyNumberFormat="1" applyFont="1" applyBorder="1" applyProtection="1">
      <protection hidden="1"/>
    </xf>
    <xf numFmtId="0" fontId="5" fillId="0" borderId="59" xfId="0" applyNumberFormat="1" applyFont="1" applyBorder="1" applyProtection="1">
      <protection hidden="1"/>
    </xf>
    <xf numFmtId="0" fontId="5" fillId="0" borderId="10" xfId="0" applyNumberFormat="1" applyFont="1" applyBorder="1" applyAlignment="1" applyProtection="1">
      <alignment horizontal="center"/>
      <protection hidden="1"/>
    </xf>
    <xf numFmtId="43" fontId="5" fillId="0" borderId="59" xfId="0" applyNumberFormat="1" applyFont="1" applyBorder="1" applyProtection="1">
      <protection hidden="1"/>
    </xf>
    <xf numFmtId="43" fontId="5" fillId="0" borderId="15" xfId="0" applyNumberFormat="1" applyFont="1" applyBorder="1" applyProtection="1">
      <protection hidden="1"/>
    </xf>
    <xf numFmtId="43" fontId="5" fillId="0" borderId="130" xfId="0" applyNumberFormat="1" applyFont="1" applyBorder="1" applyProtection="1">
      <protection hidden="1"/>
    </xf>
    <xf numFmtId="43" fontId="5" fillId="0" borderId="20" xfId="0" applyNumberFormat="1" applyFont="1" applyBorder="1" applyProtection="1">
      <protection hidden="1"/>
    </xf>
    <xf numFmtId="0" fontId="5" fillId="0" borderId="71" xfId="0" applyNumberFormat="1" applyFont="1" applyBorder="1" applyProtection="1">
      <protection hidden="1"/>
    </xf>
    <xf numFmtId="0" fontId="5" fillId="0" borderId="72" xfId="0" applyNumberFormat="1" applyFont="1" applyBorder="1" applyAlignment="1" applyProtection="1">
      <alignment horizontal="center"/>
      <protection hidden="1"/>
    </xf>
    <xf numFmtId="43" fontId="5" fillId="0" borderId="71" xfId="0" applyNumberFormat="1" applyFont="1" applyBorder="1" applyProtection="1">
      <protection hidden="1"/>
    </xf>
    <xf numFmtId="43" fontId="5" fillId="0" borderId="73" xfId="0" applyNumberFormat="1" applyFont="1" applyBorder="1" applyProtection="1">
      <protection hidden="1"/>
    </xf>
    <xf numFmtId="43" fontId="5" fillId="0" borderId="72" xfId="0" applyNumberFormat="1" applyFont="1" applyBorder="1" applyProtection="1">
      <protection hidden="1"/>
    </xf>
    <xf numFmtId="43" fontId="5" fillId="0" borderId="137" xfId="0" applyNumberFormat="1" applyFont="1" applyBorder="1" applyProtection="1">
      <protection hidden="1"/>
    </xf>
    <xf numFmtId="0" fontId="5" fillId="0" borderId="4" xfId="0" applyFont="1" applyFill="1" applyBorder="1" applyAlignment="1" applyProtection="1">
      <alignment horizontal="center"/>
      <protection hidden="1"/>
    </xf>
    <xf numFmtId="0" fontId="5" fillId="0" borderId="60" xfId="0" applyNumberFormat="1" applyFont="1" applyBorder="1" applyProtection="1">
      <protection hidden="1"/>
    </xf>
    <xf numFmtId="0" fontId="5" fillId="0" borderId="11" xfId="0" applyNumberFormat="1" applyFont="1" applyBorder="1" applyAlignment="1" applyProtection="1">
      <alignment horizontal="center"/>
      <protection hidden="1"/>
    </xf>
    <xf numFmtId="43" fontId="5" fillId="0" borderId="60" xfId="0" applyNumberFormat="1" applyFont="1" applyBorder="1" applyProtection="1">
      <protection hidden="1"/>
    </xf>
    <xf numFmtId="43" fontId="5" fillId="0" borderId="16" xfId="0" applyNumberFormat="1" applyFont="1" applyBorder="1" applyProtection="1">
      <protection hidden="1"/>
    </xf>
    <xf numFmtId="43" fontId="5" fillId="0" borderId="11" xfId="0" applyNumberFormat="1" applyFont="1" applyBorder="1" applyProtection="1">
      <protection hidden="1"/>
    </xf>
    <xf numFmtId="43" fontId="5" fillId="0" borderId="21" xfId="0" applyNumberFormat="1" applyFont="1" applyBorder="1" applyProtection="1">
      <protection hidden="1"/>
    </xf>
    <xf numFmtId="0" fontId="5" fillId="0" borderId="39" xfId="0" applyFont="1" applyFill="1" applyBorder="1" applyAlignment="1" applyProtection="1">
      <alignment horizontal="left" vertical="center"/>
      <protection hidden="1"/>
    </xf>
    <xf numFmtId="0" fontId="5" fillId="0" borderId="83" xfId="0" applyFont="1" applyFill="1" applyBorder="1" applyAlignment="1" applyProtection="1">
      <alignment horizontal="center"/>
      <protection hidden="1"/>
    </xf>
    <xf numFmtId="43" fontId="5" fillId="0" borderId="144" xfId="1" applyFont="1" applyBorder="1" applyProtection="1">
      <protection locked="0" hidden="1"/>
    </xf>
    <xf numFmtId="43" fontId="5" fillId="0" borderId="145" xfId="1" applyFont="1" applyBorder="1" applyProtection="1">
      <protection locked="0" hidden="1"/>
    </xf>
    <xf numFmtId="43" fontId="5" fillId="0" borderId="145" xfId="1" applyFont="1" applyBorder="1" applyProtection="1">
      <protection hidden="1"/>
    </xf>
    <xf numFmtId="43" fontId="5" fillId="0" borderId="146" xfId="1" applyFont="1" applyBorder="1" applyProtection="1">
      <protection locked="0" hidden="1"/>
    </xf>
    <xf numFmtId="0" fontId="5" fillId="0" borderId="61" xfId="0" applyNumberFormat="1" applyFont="1" applyBorder="1" applyProtection="1">
      <protection hidden="1"/>
    </xf>
    <xf numFmtId="0" fontId="5" fillId="0" borderId="9" xfId="0" applyNumberFormat="1" applyFont="1" applyBorder="1" applyAlignment="1" applyProtection="1">
      <alignment horizontal="center"/>
      <protection hidden="1"/>
    </xf>
    <xf numFmtId="43" fontId="5" fillId="0" borderId="61" xfId="0" applyNumberFormat="1" applyFont="1" applyBorder="1" applyProtection="1">
      <protection hidden="1"/>
    </xf>
    <xf numFmtId="43" fontId="5" fillId="0" borderId="14" xfId="0" applyNumberFormat="1" applyFont="1" applyBorder="1" applyProtection="1">
      <protection hidden="1"/>
    </xf>
    <xf numFmtId="43" fontId="5" fillId="0" borderId="155" xfId="0" applyNumberFormat="1" applyFont="1" applyBorder="1" applyProtection="1">
      <protection hidden="1"/>
    </xf>
    <xf numFmtId="43" fontId="5" fillId="0" borderId="19" xfId="0" applyNumberFormat="1" applyFont="1" applyBorder="1" applyProtection="1">
      <protection hidden="1"/>
    </xf>
    <xf numFmtId="43" fontId="5" fillId="0" borderId="134" xfId="1" applyFont="1" applyBorder="1" applyProtection="1">
      <protection locked="0" hidden="1"/>
    </xf>
    <xf numFmtId="43" fontId="5" fillId="0" borderId="135" xfId="1" applyFont="1" applyBorder="1" applyProtection="1">
      <protection locked="0" hidden="1"/>
    </xf>
    <xf numFmtId="43" fontId="5" fillId="0" borderId="135" xfId="1" applyFont="1" applyBorder="1" applyProtection="1">
      <protection hidden="1"/>
    </xf>
    <xf numFmtId="43" fontId="5" fillId="0" borderId="136" xfId="1" applyFont="1" applyBorder="1" applyProtection="1">
      <protection locked="0" hidden="1"/>
    </xf>
    <xf numFmtId="0" fontId="5" fillId="0" borderId="130" xfId="0" applyNumberFormat="1" applyFont="1" applyBorder="1" applyAlignment="1" applyProtection="1">
      <alignment horizontal="center"/>
      <protection hidden="1"/>
    </xf>
    <xf numFmtId="43" fontId="5" fillId="0" borderId="128" xfId="0" applyNumberFormat="1" applyFont="1" applyBorder="1" applyProtection="1">
      <protection hidden="1"/>
    </xf>
    <xf numFmtId="43" fontId="5" fillId="0" borderId="9" xfId="0" applyNumberFormat="1" applyFont="1" applyBorder="1" applyProtection="1">
      <protection hidden="1"/>
    </xf>
    <xf numFmtId="167" fontId="5" fillId="0" borderId="0" xfId="1" applyNumberFormat="1" applyFont="1" applyFill="1" applyBorder="1" applyProtection="1">
      <protection hidden="1"/>
    </xf>
    <xf numFmtId="43" fontId="14" fillId="2" borderId="54" xfId="1" applyFont="1" applyFill="1" applyBorder="1" applyProtection="1">
      <protection hidden="1"/>
    </xf>
    <xf numFmtId="0" fontId="5" fillId="0" borderId="0" xfId="0" applyNumberFormat="1" applyFont="1" applyProtection="1">
      <protection hidden="1"/>
    </xf>
    <xf numFmtId="0" fontId="15" fillId="0" borderId="81" xfId="4" applyFont="1" applyBorder="1" applyProtection="1">
      <protection hidden="1"/>
    </xf>
    <xf numFmtId="164" fontId="15" fillId="0" borderId="74" xfId="6" applyFont="1" applyFill="1" applyBorder="1" applyProtection="1">
      <protection hidden="1"/>
    </xf>
    <xf numFmtId="0" fontId="15" fillId="0" borderId="18" xfId="4" applyFont="1" applyBorder="1" applyProtection="1">
      <protection hidden="1"/>
    </xf>
    <xf numFmtId="164" fontId="15" fillId="0" borderId="19" xfId="6" applyFont="1" applyFill="1" applyBorder="1" applyProtection="1">
      <protection hidden="1"/>
    </xf>
    <xf numFmtId="0" fontId="15" fillId="3" borderId="85" xfId="4" applyFont="1" applyFill="1" applyBorder="1" applyProtection="1">
      <protection locked="0" hidden="1"/>
    </xf>
    <xf numFmtId="164" fontId="15" fillId="0" borderId="20" xfId="6" applyFont="1" applyFill="1" applyBorder="1" applyProtection="1">
      <protection hidden="1"/>
    </xf>
    <xf numFmtId="0" fontId="15" fillId="3" borderId="87" xfId="4" applyFont="1" applyFill="1" applyBorder="1" applyProtection="1">
      <protection locked="0" hidden="1"/>
    </xf>
    <xf numFmtId="164" fontId="15" fillId="0" borderId="21" xfId="6" applyFont="1" applyFill="1" applyBorder="1" applyProtection="1">
      <protection hidden="1"/>
    </xf>
    <xf numFmtId="0" fontId="15" fillId="0" borderId="90" xfId="4" applyFont="1" applyBorder="1" applyProtection="1">
      <protection hidden="1"/>
    </xf>
    <xf numFmtId="164" fontId="15" fillId="0" borderId="91" xfId="6" applyFont="1" applyFill="1" applyBorder="1" applyProtection="1">
      <protection hidden="1"/>
    </xf>
    <xf numFmtId="0" fontId="19" fillId="0" borderId="18" xfId="4" applyFont="1" applyBorder="1" applyProtection="1">
      <protection hidden="1"/>
    </xf>
    <xf numFmtId="164" fontId="15" fillId="3" borderId="19" xfId="6" applyFont="1" applyFill="1" applyBorder="1" applyProtection="1">
      <protection locked="0" hidden="1"/>
    </xf>
    <xf numFmtId="0" fontId="15" fillId="0" borderId="85" xfId="4" applyFont="1" applyBorder="1" applyProtection="1">
      <protection hidden="1"/>
    </xf>
    <xf numFmtId="0" fontId="15" fillId="0" borderId="22" xfId="4" applyFont="1" applyBorder="1" applyProtection="1">
      <protection hidden="1"/>
    </xf>
    <xf numFmtId="164" fontId="15" fillId="0" borderId="23" xfId="6" applyFont="1" applyFill="1" applyBorder="1" applyProtection="1">
      <protection hidden="1"/>
    </xf>
    <xf numFmtId="0" fontId="15" fillId="0" borderId="92" xfId="4" applyFont="1" applyBorder="1" applyProtection="1">
      <protection hidden="1"/>
    </xf>
    <xf numFmtId="164" fontId="15" fillId="0" borderId="94" xfId="6" applyFont="1" applyFill="1" applyBorder="1" applyProtection="1">
      <protection hidden="1"/>
    </xf>
    <xf numFmtId="10" fontId="5" fillId="0" borderId="0" xfId="0" applyNumberFormat="1" applyFont="1" applyProtection="1">
      <protection hidden="1"/>
    </xf>
    <xf numFmtId="0" fontId="6" fillId="2" borderId="17" xfId="0" applyFont="1" applyFill="1" applyBorder="1" applyAlignment="1" applyProtection="1">
      <alignment horizontal="center" vertical="center" wrapText="1"/>
      <protection hidden="1"/>
    </xf>
    <xf numFmtId="9" fontId="5" fillId="6" borderId="15" xfId="0" applyNumberFormat="1" applyFont="1" applyFill="1" applyBorder="1" applyAlignment="1" applyProtection="1">
      <alignment horizontal="center"/>
      <protection locked="0" hidden="1"/>
    </xf>
    <xf numFmtId="9" fontId="5" fillId="3" borderId="15" xfId="0" applyNumberFormat="1" applyFont="1" applyFill="1" applyBorder="1" applyAlignment="1" applyProtection="1">
      <alignment horizontal="center"/>
      <protection locked="0" hidden="1"/>
    </xf>
    <xf numFmtId="0" fontId="16" fillId="7" borderId="111" xfId="7" applyFont="1" applyFill="1" applyBorder="1" applyAlignment="1" applyProtection="1">
      <alignment wrapText="1"/>
      <protection hidden="1"/>
    </xf>
    <xf numFmtId="0" fontId="21" fillId="0" borderId="0" xfId="0" applyFont="1" applyAlignment="1" applyProtection="1">
      <alignment horizontal="left" indent="1"/>
      <protection hidden="1"/>
    </xf>
    <xf numFmtId="0" fontId="5" fillId="10" borderId="59" xfId="0" applyFont="1" applyFill="1" applyBorder="1"/>
    <xf numFmtId="0" fontId="5" fillId="10" borderId="0" xfId="0" applyFont="1" applyFill="1"/>
    <xf numFmtId="0" fontId="17" fillId="0" borderId="0" xfId="0" applyFont="1" applyProtection="1">
      <protection hidden="1"/>
    </xf>
    <xf numFmtId="0" fontId="5" fillId="0" borderId="159" xfId="0" applyFont="1" applyBorder="1" applyProtection="1">
      <protection hidden="1"/>
    </xf>
    <xf numFmtId="0" fontId="5" fillId="0" borderId="157" xfId="0" applyFont="1" applyBorder="1" applyProtection="1">
      <protection hidden="1"/>
    </xf>
    <xf numFmtId="0" fontId="5" fillId="0" borderId="158" xfId="0" applyFont="1" applyBorder="1" applyProtection="1">
      <protection hidden="1"/>
    </xf>
    <xf numFmtId="0" fontId="5" fillId="0" borderId="22" xfId="0" applyFont="1" applyBorder="1" applyProtection="1">
      <protection hidden="1"/>
    </xf>
    <xf numFmtId="0" fontId="5" fillId="0" borderId="118" xfId="0" applyFont="1" applyBorder="1" applyProtection="1">
      <protection hidden="1"/>
    </xf>
    <xf numFmtId="44" fontId="5" fillId="9" borderId="1" xfId="22" applyFont="1" applyFill="1" applyBorder="1" applyAlignment="1" applyProtection="1">
      <protection hidden="1"/>
    </xf>
    <xf numFmtId="44" fontId="5" fillId="0" borderId="117" xfId="22" applyFont="1" applyFill="1" applyBorder="1" applyAlignment="1" applyProtection="1">
      <protection hidden="1"/>
    </xf>
    <xf numFmtId="0" fontId="5" fillId="0" borderId="174" xfId="0" applyFont="1" applyBorder="1" applyProtection="1">
      <protection hidden="1"/>
    </xf>
    <xf numFmtId="0" fontId="5" fillId="0" borderId="90" xfId="0" applyFont="1" applyBorder="1" applyProtection="1">
      <protection hidden="1"/>
    </xf>
    <xf numFmtId="0" fontId="5" fillId="0" borderId="0" xfId="0" applyFont="1" applyBorder="1" applyProtection="1">
      <protection hidden="1"/>
    </xf>
    <xf numFmtId="44" fontId="5" fillId="0" borderId="0" xfId="22" applyFont="1" applyBorder="1" applyProtection="1">
      <protection hidden="1"/>
    </xf>
    <xf numFmtId="44" fontId="5" fillId="0" borderId="0" xfId="22" applyFont="1" applyFill="1" applyBorder="1" applyProtection="1">
      <protection hidden="1"/>
    </xf>
    <xf numFmtId="0" fontId="5" fillId="0" borderId="91" xfId="0" applyFont="1" applyBorder="1" applyProtection="1">
      <protection hidden="1"/>
    </xf>
    <xf numFmtId="0" fontId="22" fillId="0" borderId="22" xfId="0" applyFont="1" applyBorder="1" applyProtection="1">
      <protection hidden="1"/>
    </xf>
    <xf numFmtId="0" fontId="22" fillId="0" borderId="118" xfId="0" applyFont="1" applyBorder="1" applyProtection="1">
      <protection hidden="1"/>
    </xf>
    <xf numFmtId="44" fontId="22" fillId="9" borderId="1" xfId="0" applyNumberFormat="1" applyFont="1" applyFill="1" applyBorder="1" applyProtection="1">
      <protection hidden="1"/>
    </xf>
    <xf numFmtId="0" fontId="5" fillId="0" borderId="117" xfId="0" applyFont="1" applyBorder="1" applyProtection="1">
      <protection hidden="1"/>
    </xf>
    <xf numFmtId="0" fontId="5" fillId="0" borderId="171" xfId="0" applyFont="1" applyBorder="1" applyProtection="1">
      <protection hidden="1"/>
    </xf>
    <xf numFmtId="0" fontId="5" fillId="0" borderId="172" xfId="0" applyFont="1" applyBorder="1" applyProtection="1">
      <protection hidden="1"/>
    </xf>
    <xf numFmtId="0" fontId="5" fillId="0" borderId="173" xfId="0" applyFont="1" applyBorder="1" applyProtection="1">
      <protection hidden="1"/>
    </xf>
    <xf numFmtId="0" fontId="14" fillId="2" borderId="147" xfId="0" applyFont="1" applyFill="1" applyBorder="1" applyAlignment="1" applyProtection="1">
      <alignment vertical="top"/>
      <protection hidden="1"/>
    </xf>
    <xf numFmtId="0" fontId="14" fillId="2" borderId="79" xfId="0" applyFont="1" applyFill="1" applyBorder="1" applyAlignment="1" applyProtection="1">
      <alignment vertical="top"/>
      <protection hidden="1"/>
    </xf>
    <xf numFmtId="0" fontId="14" fillId="2" borderId="116" xfId="0" applyFont="1" applyFill="1" applyBorder="1" applyAlignment="1" applyProtection="1">
      <alignment vertical="top"/>
      <protection hidden="1"/>
    </xf>
    <xf numFmtId="0" fontId="14" fillId="2" borderId="1" xfId="0" applyFont="1" applyFill="1" applyBorder="1" applyAlignment="1" applyProtection="1">
      <alignment vertical="top"/>
      <protection hidden="1"/>
    </xf>
    <xf numFmtId="0" fontId="14" fillId="2" borderId="62" xfId="0" applyFont="1" applyFill="1" applyBorder="1" applyAlignment="1" applyProtection="1">
      <alignment vertical="top"/>
      <protection hidden="1"/>
    </xf>
    <xf numFmtId="0" fontId="14" fillId="2" borderId="25" xfId="0" applyFont="1" applyFill="1" applyBorder="1" applyAlignment="1" applyProtection="1">
      <alignment vertical="top"/>
      <protection hidden="1"/>
    </xf>
    <xf numFmtId="0" fontId="5" fillId="0" borderId="0" xfId="0" applyFont="1" applyAlignment="1" applyProtection="1">
      <alignment vertical="top"/>
      <protection hidden="1"/>
    </xf>
    <xf numFmtId="0" fontId="0" fillId="0" borderId="0" xfId="0" applyProtection="1">
      <protection hidden="1"/>
    </xf>
    <xf numFmtId="0" fontId="5" fillId="6" borderId="0" xfId="0" applyFont="1" applyFill="1" applyAlignment="1" applyProtection="1">
      <alignment horizontal="left"/>
      <protection locked="0" hidden="1"/>
    </xf>
    <xf numFmtId="0" fontId="5" fillId="0" borderId="25" xfId="0" applyFont="1" applyBorder="1" applyAlignment="1" applyProtection="1">
      <alignment vertical="top" wrapText="1"/>
      <protection locked="0" hidden="1"/>
    </xf>
    <xf numFmtId="0" fontId="5" fillId="0" borderId="80" xfId="0" applyFont="1" applyBorder="1" applyAlignment="1" applyProtection="1">
      <alignment vertical="top" wrapText="1"/>
      <protection locked="0" hidden="1"/>
    </xf>
    <xf numFmtId="175" fontId="5" fillId="0" borderId="23" xfId="0" applyNumberFormat="1" applyFont="1" applyBorder="1" applyAlignment="1" applyProtection="1">
      <alignment horizontal="center" vertical="top" wrapText="1"/>
      <protection locked="0" hidden="1"/>
    </xf>
    <xf numFmtId="43" fontId="5" fillId="8" borderId="117" xfId="1" quotePrefix="1" applyFont="1" applyFill="1" applyBorder="1" applyProtection="1">
      <protection hidden="1"/>
    </xf>
    <xf numFmtId="0" fontId="5" fillId="0" borderId="0" xfId="0" quotePrefix="1" applyFont="1" applyProtection="1">
      <protection hidden="1"/>
    </xf>
    <xf numFmtId="43" fontId="5" fillId="8" borderId="9" xfId="1" quotePrefix="1" applyFont="1" applyFill="1" applyBorder="1" applyProtection="1">
      <protection hidden="1"/>
    </xf>
    <xf numFmtId="43" fontId="5" fillId="8" borderId="119" xfId="1" quotePrefix="1" applyFont="1" applyFill="1" applyBorder="1" applyProtection="1">
      <protection hidden="1"/>
    </xf>
    <xf numFmtId="0" fontId="5" fillId="0" borderId="24" xfId="0" applyFont="1" applyFill="1" applyBorder="1" applyAlignment="1" applyProtection="1">
      <alignment horizontal="left" vertical="center"/>
      <protection hidden="1"/>
    </xf>
    <xf numFmtId="43" fontId="5" fillId="0" borderId="62" xfId="1" applyFont="1" applyFill="1" applyBorder="1" applyProtection="1">
      <protection hidden="1"/>
    </xf>
    <xf numFmtId="43" fontId="5" fillId="0" borderId="25" xfId="1" applyFont="1" applyFill="1" applyBorder="1" applyProtection="1">
      <protection hidden="1"/>
    </xf>
    <xf numFmtId="43" fontId="5" fillId="0" borderId="68" xfId="1" quotePrefix="1" applyFont="1" applyFill="1" applyBorder="1" applyProtection="1">
      <protection hidden="1"/>
    </xf>
    <xf numFmtId="0" fontId="5" fillId="0" borderId="32" xfId="0" applyFont="1" applyFill="1" applyBorder="1" applyAlignment="1" applyProtection="1">
      <alignment horizontal="center"/>
      <protection hidden="1"/>
    </xf>
    <xf numFmtId="171" fontId="5" fillId="0" borderId="177" xfId="6" applyNumberFormat="1" applyFont="1" applyFill="1" applyBorder="1" applyProtection="1">
      <protection hidden="1"/>
    </xf>
    <xf numFmtId="171" fontId="5" fillId="0" borderId="25" xfId="6" applyNumberFormat="1" applyFont="1" applyFill="1" applyBorder="1" applyProtection="1">
      <protection hidden="1"/>
    </xf>
    <xf numFmtId="164" fontId="14" fillId="2" borderId="17" xfId="6" applyFont="1" applyFill="1" applyBorder="1" applyAlignment="1" applyProtection="1">
      <alignment vertical="center"/>
      <protection hidden="1"/>
    </xf>
    <xf numFmtId="43" fontId="5" fillId="0" borderId="117" xfId="1" quotePrefix="1" applyFont="1" applyFill="1" applyBorder="1" applyProtection="1">
      <protection hidden="1"/>
    </xf>
    <xf numFmtId="164" fontId="16" fillId="6" borderId="106" xfId="8" applyFont="1" applyFill="1" applyBorder="1" applyAlignment="1" applyProtection="1">
      <protection locked="0" hidden="1"/>
    </xf>
    <xf numFmtId="164" fontId="16" fillId="6" borderId="108" xfId="8" applyFont="1" applyFill="1" applyBorder="1" applyAlignment="1" applyProtection="1">
      <protection locked="0" hidden="1"/>
    </xf>
    <xf numFmtId="164" fontId="16" fillId="6" borderId="110" xfId="8" applyFont="1" applyFill="1" applyBorder="1" applyAlignment="1" applyProtection="1">
      <protection locked="0" hidden="1"/>
    </xf>
    <xf numFmtId="164" fontId="16" fillId="6" borderId="112" xfId="8" applyFont="1" applyFill="1" applyBorder="1" applyAlignment="1" applyProtection="1">
      <protection locked="0" hidden="1"/>
    </xf>
    <xf numFmtId="171" fontId="5" fillId="0" borderId="58" xfId="6" applyNumberFormat="1" applyFont="1" applyFill="1" applyBorder="1" applyProtection="1">
      <protection locked="0" hidden="1"/>
    </xf>
    <xf numFmtId="0" fontId="5" fillId="0" borderId="115" xfId="0" applyFont="1" applyFill="1" applyBorder="1" applyProtection="1">
      <protection locked="0" hidden="1"/>
    </xf>
    <xf numFmtId="171" fontId="5" fillId="8" borderId="23" xfId="6" applyNumberFormat="1" applyFont="1" applyFill="1" applyBorder="1" applyProtection="1">
      <protection locked="0" hidden="1"/>
    </xf>
    <xf numFmtId="0" fontId="5" fillId="8" borderId="118" xfId="0" applyFont="1" applyFill="1" applyBorder="1" applyProtection="1">
      <protection locked="0" hidden="1"/>
    </xf>
    <xf numFmtId="171" fontId="5" fillId="0" borderId="23" xfId="6" applyNumberFormat="1" applyFont="1" applyFill="1" applyBorder="1" applyProtection="1">
      <protection locked="0" hidden="1"/>
    </xf>
    <xf numFmtId="0" fontId="5" fillId="0" borderId="118" xfId="0" applyFont="1" applyFill="1" applyBorder="1" applyProtection="1">
      <protection locked="0" hidden="1"/>
    </xf>
    <xf numFmtId="171" fontId="5" fillId="0" borderId="74" xfId="6" applyNumberFormat="1" applyFont="1" applyFill="1" applyBorder="1" applyProtection="1">
      <protection locked="0" hidden="1"/>
    </xf>
    <xf numFmtId="0" fontId="5" fillId="0" borderId="120" xfId="0" applyFont="1" applyFill="1" applyBorder="1" applyProtection="1">
      <protection locked="0" hidden="1"/>
    </xf>
    <xf numFmtId="171" fontId="5" fillId="8" borderId="19" xfId="6" applyNumberFormat="1" applyFont="1" applyFill="1" applyBorder="1" applyProtection="1">
      <protection locked="0" hidden="1"/>
    </xf>
    <xf numFmtId="0" fontId="5" fillId="8" borderId="121" xfId="0" applyFont="1" applyFill="1" applyBorder="1" applyProtection="1">
      <protection locked="0" hidden="1"/>
    </xf>
    <xf numFmtId="171" fontId="5" fillId="0" borderId="19" xfId="6" applyNumberFormat="1" applyFont="1" applyFill="1" applyBorder="1" applyProtection="1">
      <protection locked="0" hidden="1"/>
    </xf>
    <xf numFmtId="0" fontId="5" fillId="0" borderId="121" xfId="0" applyFont="1" applyFill="1" applyBorder="1" applyProtection="1">
      <protection locked="0" hidden="1"/>
    </xf>
    <xf numFmtId="171" fontId="5" fillId="8" borderId="74" xfId="6" applyNumberFormat="1" applyFont="1" applyFill="1" applyBorder="1" applyProtection="1">
      <protection locked="0" hidden="1"/>
    </xf>
    <xf numFmtId="0" fontId="5" fillId="8" borderId="120" xfId="0" applyFont="1" applyFill="1" applyBorder="1" applyProtection="1">
      <protection locked="0" hidden="1"/>
    </xf>
    <xf numFmtId="171" fontId="5" fillId="0" borderId="29" xfId="6" applyNumberFormat="1" applyFont="1" applyFill="1" applyBorder="1" applyProtection="1">
      <protection locked="0" hidden="1"/>
    </xf>
    <xf numFmtId="0" fontId="5" fillId="0" borderId="177" xfId="0" applyFont="1" applyFill="1" applyBorder="1" applyProtection="1">
      <protection locked="0" hidden="1"/>
    </xf>
    <xf numFmtId="0" fontId="5" fillId="0" borderId="124" xfId="0" applyFont="1" applyBorder="1" applyAlignment="1">
      <alignment horizontal="center"/>
    </xf>
    <xf numFmtId="0" fontId="5" fillId="0" borderId="7" xfId="0" applyFont="1" applyBorder="1" applyAlignment="1">
      <alignment horizontal="center"/>
    </xf>
    <xf numFmtId="0" fontId="14" fillId="2" borderId="35" xfId="9" applyFont="1" applyFill="1" applyBorder="1" applyProtection="1">
      <protection locked="0"/>
    </xf>
    <xf numFmtId="0" fontId="14" fillId="2" borderId="37" xfId="9" applyFont="1" applyFill="1" applyBorder="1" applyProtection="1">
      <protection locked="0"/>
    </xf>
    <xf numFmtId="0" fontId="14" fillId="2" borderId="48" xfId="9" applyFont="1" applyFill="1" applyBorder="1" applyAlignment="1" applyProtection="1">
      <alignment horizontal="center"/>
      <protection locked="0"/>
    </xf>
    <xf numFmtId="0" fontId="14" fillId="2" borderId="36" xfId="9" applyFont="1" applyFill="1" applyBorder="1" applyAlignment="1" applyProtection="1">
      <alignment horizontal="center"/>
      <protection locked="0"/>
    </xf>
    <xf numFmtId="0" fontId="14" fillId="2" borderId="33" xfId="9" applyFont="1" applyFill="1" applyBorder="1" applyAlignment="1" applyProtection="1">
      <alignment horizontal="center"/>
      <protection locked="0"/>
    </xf>
    <xf numFmtId="0" fontId="14" fillId="2" borderId="34" xfId="9" applyFont="1" applyFill="1" applyBorder="1" applyAlignment="1" applyProtection="1">
      <alignment horizontal="center"/>
      <protection locked="0"/>
    </xf>
    <xf numFmtId="0" fontId="16" fillId="0" borderId="57" xfId="9" applyFont="1" applyBorder="1" applyProtection="1">
      <protection locked="0"/>
    </xf>
    <xf numFmtId="0" fontId="16" fillId="0" borderId="69" xfId="9" applyFont="1" applyBorder="1" applyProtection="1">
      <protection locked="0"/>
    </xf>
    <xf numFmtId="0" fontId="16" fillId="0" borderId="178" xfId="9" applyFont="1" applyBorder="1" applyAlignment="1" applyProtection="1">
      <alignment horizontal="center"/>
      <protection locked="0"/>
    </xf>
    <xf numFmtId="0" fontId="16" fillId="0" borderId="179" xfId="9" applyFont="1" applyBorder="1" applyAlignment="1" applyProtection="1">
      <alignment horizontal="center"/>
      <protection locked="0"/>
    </xf>
    <xf numFmtId="0" fontId="16" fillId="0" borderId="59" xfId="9" applyFont="1" applyBorder="1" applyProtection="1">
      <protection locked="0"/>
    </xf>
    <xf numFmtId="0" fontId="5" fillId="0" borderId="182" xfId="0" applyFont="1" applyBorder="1"/>
    <xf numFmtId="0" fontId="16" fillId="0" borderId="183" xfId="9" applyFont="1" applyBorder="1" applyProtection="1">
      <protection locked="0"/>
    </xf>
    <xf numFmtId="0" fontId="16" fillId="0" borderId="115" xfId="9" applyFont="1" applyBorder="1" applyProtection="1">
      <protection locked="0"/>
    </xf>
    <xf numFmtId="0" fontId="16" fillId="0" borderId="154" xfId="9" applyFont="1" applyBorder="1" applyProtection="1">
      <protection locked="0"/>
    </xf>
    <xf numFmtId="0" fontId="5" fillId="0" borderId="154" xfId="0" applyFont="1" applyBorder="1"/>
    <xf numFmtId="0" fontId="14" fillId="2" borderId="49" xfId="9" applyFont="1" applyFill="1" applyBorder="1" applyAlignment="1" applyProtection="1">
      <alignment horizontal="center"/>
      <protection locked="0"/>
    </xf>
    <xf numFmtId="0" fontId="16" fillId="0" borderId="187" xfId="9" applyFont="1" applyBorder="1" applyAlignment="1" applyProtection="1">
      <alignment horizontal="center"/>
      <protection locked="0"/>
    </xf>
    <xf numFmtId="0" fontId="16" fillId="0" borderId="188" xfId="9" applyFont="1" applyBorder="1" applyAlignment="1" applyProtection="1">
      <alignment horizontal="center"/>
      <protection locked="0"/>
    </xf>
    <xf numFmtId="0" fontId="16" fillId="0" borderId="188" xfId="9" applyFont="1" applyFill="1" applyBorder="1" applyAlignment="1" applyProtection="1">
      <alignment horizontal="center"/>
      <protection locked="0"/>
    </xf>
    <xf numFmtId="0" fontId="5" fillId="0" borderId="188" xfId="0" applyFont="1" applyBorder="1" applyAlignment="1">
      <alignment horizontal="center"/>
    </xf>
    <xf numFmtId="0" fontId="14" fillId="2" borderId="190" xfId="9" applyFont="1" applyFill="1" applyBorder="1" applyProtection="1">
      <protection locked="0"/>
    </xf>
    <xf numFmtId="0" fontId="14" fillId="2" borderId="191" xfId="9" applyFont="1" applyFill="1" applyBorder="1" applyProtection="1">
      <protection locked="0"/>
    </xf>
    <xf numFmtId="0" fontId="14" fillId="2" borderId="192" xfId="9" applyFont="1" applyFill="1" applyBorder="1" applyAlignment="1" applyProtection="1">
      <alignment horizontal="center"/>
      <protection locked="0"/>
    </xf>
    <xf numFmtId="0" fontId="14" fillId="2" borderId="193" xfId="9" applyFont="1" applyFill="1" applyBorder="1" applyAlignment="1" applyProtection="1">
      <alignment horizontal="center"/>
      <protection locked="0"/>
    </xf>
    <xf numFmtId="0" fontId="14" fillId="2" borderId="194" xfId="9" applyFont="1" applyFill="1" applyBorder="1" applyAlignment="1" applyProtection="1">
      <alignment horizontal="center"/>
      <protection locked="0"/>
    </xf>
    <xf numFmtId="0" fontId="14" fillId="2" borderId="195" xfId="9" applyFont="1" applyFill="1" applyBorder="1" applyAlignment="1" applyProtection="1">
      <alignment horizontal="center"/>
      <protection locked="0"/>
    </xf>
    <xf numFmtId="0" fontId="5" fillId="0" borderId="170" xfId="0" applyFont="1" applyBorder="1"/>
    <xf numFmtId="0" fontId="16" fillId="0" borderId="73" xfId="9" applyFont="1" applyBorder="1" applyProtection="1">
      <protection locked="0"/>
    </xf>
    <xf numFmtId="0" fontId="16" fillId="0" borderId="196" xfId="9" applyFont="1" applyBorder="1" applyAlignment="1" applyProtection="1">
      <alignment horizontal="center"/>
      <protection locked="0"/>
    </xf>
    <xf numFmtId="0" fontId="16" fillId="0" borderId="197" xfId="9" applyFont="1" applyBorder="1" applyAlignment="1" applyProtection="1">
      <alignment horizontal="center"/>
      <protection locked="0"/>
    </xf>
    <xf numFmtId="0" fontId="16" fillId="0" borderId="198" xfId="9" applyFont="1" applyBorder="1" applyAlignment="1" applyProtection="1">
      <alignment horizontal="center"/>
      <protection locked="0"/>
    </xf>
    <xf numFmtId="176" fontId="16" fillId="0" borderId="178" xfId="9" applyNumberFormat="1" applyFont="1" applyBorder="1" applyAlignment="1" applyProtection="1">
      <alignment horizontal="center"/>
      <protection locked="0"/>
    </xf>
    <xf numFmtId="176" fontId="16" fillId="0" borderId="179" xfId="9" applyNumberFormat="1" applyFont="1" applyBorder="1" applyAlignment="1" applyProtection="1">
      <alignment horizontal="center"/>
      <protection locked="0"/>
    </xf>
    <xf numFmtId="176" fontId="16" fillId="0" borderId="180" xfId="9" applyNumberFormat="1" applyFont="1" applyBorder="1" applyAlignment="1" applyProtection="1">
      <alignment horizontal="center"/>
      <protection locked="0"/>
    </xf>
    <xf numFmtId="176" fontId="16" fillId="0" borderId="124" xfId="9" applyNumberFormat="1" applyFont="1" applyBorder="1" applyAlignment="1" applyProtection="1">
      <alignment horizontal="center"/>
      <protection locked="0"/>
    </xf>
    <xf numFmtId="176" fontId="16" fillId="0" borderId="7" xfId="9" applyNumberFormat="1" applyFont="1" applyBorder="1" applyAlignment="1" applyProtection="1">
      <alignment horizontal="center"/>
      <protection locked="0"/>
    </xf>
    <xf numFmtId="176" fontId="16" fillId="0" borderId="181" xfId="9" applyNumberFormat="1" applyFont="1" applyBorder="1" applyAlignment="1" applyProtection="1">
      <alignment horizontal="center"/>
      <protection locked="0"/>
    </xf>
    <xf numFmtId="176" fontId="16" fillId="0" borderId="124" xfId="9" applyNumberFormat="1" applyFont="1" applyFill="1" applyBorder="1" applyAlignment="1" applyProtection="1">
      <alignment horizontal="center"/>
      <protection locked="0"/>
    </xf>
    <xf numFmtId="176" fontId="16" fillId="0" borderId="7" xfId="9" applyNumberFormat="1" applyFont="1" applyFill="1" applyBorder="1" applyAlignment="1" applyProtection="1">
      <alignment horizontal="center"/>
      <protection locked="0"/>
    </xf>
    <xf numFmtId="176" fontId="16" fillId="0" borderId="181" xfId="9" applyNumberFormat="1" applyFont="1" applyFill="1" applyBorder="1" applyAlignment="1" applyProtection="1">
      <alignment horizontal="center"/>
      <protection locked="0"/>
    </xf>
    <xf numFmtId="176" fontId="5" fillId="0" borderId="124" xfId="0" applyNumberFormat="1" applyFont="1" applyBorder="1" applyAlignment="1">
      <alignment horizontal="center"/>
    </xf>
    <xf numFmtId="176" fontId="5" fillId="0" borderId="7" xfId="0" applyNumberFormat="1" applyFont="1" applyBorder="1" applyAlignment="1">
      <alignment horizontal="center"/>
    </xf>
    <xf numFmtId="176" fontId="5" fillId="0" borderId="181" xfId="0" applyNumberFormat="1" applyFont="1" applyBorder="1" applyAlignment="1">
      <alignment horizontal="center"/>
    </xf>
    <xf numFmtId="176" fontId="16" fillId="0" borderId="184" xfId="9" applyNumberFormat="1" applyFont="1" applyBorder="1" applyAlignment="1" applyProtection="1">
      <alignment horizontal="center"/>
      <protection locked="0"/>
    </xf>
    <xf numFmtId="176" fontId="16" fillId="0" borderId="185" xfId="9" applyNumberFormat="1" applyFont="1" applyBorder="1" applyAlignment="1" applyProtection="1">
      <alignment horizontal="center"/>
      <protection locked="0"/>
    </xf>
    <xf numFmtId="176" fontId="16" fillId="0" borderId="186" xfId="9" applyNumberFormat="1" applyFont="1" applyBorder="1" applyAlignment="1" applyProtection="1">
      <alignment horizontal="center"/>
      <protection locked="0"/>
    </xf>
    <xf numFmtId="0" fontId="16" fillId="0" borderId="182" xfId="9" applyFont="1" applyBorder="1" applyProtection="1">
      <protection locked="0"/>
    </xf>
    <xf numFmtId="176" fontId="16" fillId="0" borderId="187" xfId="9" applyNumberFormat="1" applyFont="1" applyBorder="1" applyAlignment="1" applyProtection="1">
      <alignment horizontal="center"/>
      <protection locked="0"/>
    </xf>
    <xf numFmtId="176" fontId="16" fillId="0" borderId="188" xfId="9" applyNumberFormat="1" applyFont="1" applyBorder="1" applyAlignment="1" applyProtection="1">
      <alignment horizontal="center"/>
      <protection locked="0"/>
    </xf>
    <xf numFmtId="176" fontId="16" fillId="0" borderId="188" xfId="9" applyNumberFormat="1" applyFont="1" applyFill="1" applyBorder="1" applyAlignment="1" applyProtection="1">
      <alignment horizontal="center"/>
      <protection locked="0"/>
    </xf>
    <xf numFmtId="176" fontId="16" fillId="0" borderId="189" xfId="9" applyNumberFormat="1" applyFont="1" applyBorder="1" applyAlignment="1" applyProtection="1">
      <alignment horizontal="center"/>
      <protection locked="0"/>
    </xf>
    <xf numFmtId="176" fontId="5" fillId="0" borderId="188" xfId="0" applyNumberFormat="1" applyFont="1" applyBorder="1" applyAlignment="1">
      <alignment horizontal="center"/>
    </xf>
    <xf numFmtId="0" fontId="20" fillId="2" borderId="35" xfId="23" applyFill="1" applyBorder="1" applyProtection="1">
      <protection locked="0" hidden="1"/>
    </xf>
    <xf numFmtId="0" fontId="20" fillId="2" borderId="48" xfId="23" applyFill="1" applyBorder="1" applyAlignment="1" applyProtection="1">
      <alignment horizontal="center" textRotation="90"/>
      <protection locked="0" hidden="1"/>
    </xf>
    <xf numFmtId="0" fontId="20" fillId="2" borderId="33" xfId="23" applyFill="1" applyBorder="1" applyAlignment="1" applyProtection="1">
      <alignment horizontal="center" textRotation="90"/>
      <protection locked="0" hidden="1"/>
    </xf>
    <xf numFmtId="0" fontId="20" fillId="2" borderId="49" xfId="23" applyFill="1" applyBorder="1" applyAlignment="1" applyProtection="1">
      <alignment horizontal="center" textRotation="90"/>
      <protection locked="0" hidden="1"/>
    </xf>
    <xf numFmtId="0" fontId="14" fillId="2" borderId="131" xfId="0" applyFont="1" applyFill="1" applyBorder="1" applyProtection="1">
      <protection hidden="1"/>
    </xf>
    <xf numFmtId="0" fontId="14" fillId="2" borderId="63" xfId="0" applyFont="1" applyFill="1" applyBorder="1" applyAlignment="1" applyProtection="1">
      <alignment horizontal="center" textRotation="90"/>
      <protection hidden="1"/>
    </xf>
    <xf numFmtId="43" fontId="5" fillId="0" borderId="152" xfId="1" applyFont="1" applyBorder="1" applyProtection="1">
      <protection hidden="1"/>
    </xf>
    <xf numFmtId="43" fontId="5" fillId="0" borderId="12" xfId="1" applyFont="1" applyBorder="1" applyProtection="1">
      <protection hidden="1"/>
    </xf>
    <xf numFmtId="0" fontId="5" fillId="0" borderId="1" xfId="0" applyFont="1" applyFill="1" applyBorder="1" applyProtection="1">
      <protection hidden="1"/>
    </xf>
    <xf numFmtId="43" fontId="5" fillId="0" borderId="13" xfId="1" applyFont="1" applyFill="1" applyBorder="1" applyProtection="1">
      <protection hidden="1"/>
    </xf>
    <xf numFmtId="43" fontId="5" fillId="0" borderId="8" xfId="1" applyFont="1" applyFill="1" applyBorder="1" applyProtection="1">
      <protection hidden="1"/>
    </xf>
    <xf numFmtId="43" fontId="5" fillId="0" borderId="12" xfId="1" applyFont="1" applyFill="1" applyBorder="1" applyProtection="1">
      <protection hidden="1"/>
    </xf>
    <xf numFmtId="43" fontId="5" fillId="0" borderId="26" xfId="1" applyFont="1" applyBorder="1" applyProtection="1">
      <protection hidden="1"/>
    </xf>
    <xf numFmtId="43" fontId="5" fillId="0" borderId="27" xfId="1" applyFont="1" applyBorder="1" applyProtection="1">
      <protection hidden="1"/>
    </xf>
    <xf numFmtId="43" fontId="5" fillId="0" borderId="28" xfId="1" applyFont="1" applyBorder="1" applyProtection="1">
      <protection hidden="1"/>
    </xf>
    <xf numFmtId="0" fontId="20" fillId="2" borderId="55" xfId="23" applyFill="1" applyBorder="1" applyProtection="1">
      <protection locked="0" hidden="1"/>
    </xf>
    <xf numFmtId="0" fontId="20" fillId="2" borderId="132" xfId="23" applyFill="1" applyBorder="1" applyAlignment="1" applyProtection="1">
      <alignment horizontal="center" textRotation="90"/>
      <protection locked="0" hidden="1"/>
    </xf>
    <xf numFmtId="0" fontId="20" fillId="2" borderId="65" xfId="23" applyFill="1" applyBorder="1" applyAlignment="1" applyProtection="1">
      <alignment horizontal="center" textRotation="90"/>
      <protection locked="0" hidden="1"/>
    </xf>
    <xf numFmtId="0" fontId="20" fillId="2" borderId="70" xfId="23" applyFill="1" applyBorder="1" applyAlignment="1" applyProtection="1">
      <alignment horizontal="center" textRotation="90"/>
      <protection locked="0" hidden="1"/>
    </xf>
    <xf numFmtId="0" fontId="11" fillId="2" borderId="5" xfId="0" applyFont="1" applyFill="1" applyBorder="1" applyAlignment="1" applyProtection="1">
      <alignment horizontal="center" vertical="center" wrapText="1"/>
      <protection hidden="1"/>
    </xf>
    <xf numFmtId="0" fontId="11" fillId="2" borderId="4" xfId="0" applyFont="1" applyFill="1" applyBorder="1" applyAlignment="1" applyProtection="1">
      <alignment horizontal="center" vertical="center" wrapText="1"/>
      <protection hidden="1"/>
    </xf>
    <xf numFmtId="166" fontId="11" fillId="2" borderId="4" xfId="0" applyNumberFormat="1" applyFont="1" applyFill="1" applyBorder="1" applyAlignment="1" applyProtection="1">
      <alignment horizontal="center" vertical="center" wrapText="1"/>
      <protection hidden="1"/>
    </xf>
    <xf numFmtId="49" fontId="11" fillId="2" borderId="4" xfId="0" applyNumberFormat="1" applyFont="1" applyFill="1" applyBorder="1" applyAlignment="1" applyProtection="1">
      <alignment horizontal="center" vertical="center" wrapText="1"/>
      <protection hidden="1"/>
    </xf>
    <xf numFmtId="4" fontId="11" fillId="2" borderId="4" xfId="0" applyNumberFormat="1" applyFont="1" applyFill="1" applyBorder="1" applyAlignment="1" applyProtection="1">
      <alignment horizontal="center" vertical="center" wrapText="1"/>
      <protection hidden="1"/>
    </xf>
    <xf numFmtId="4" fontId="11" fillId="2" borderId="6" xfId="0" applyNumberFormat="1" applyFont="1" applyFill="1" applyBorder="1" applyAlignment="1" applyProtection="1">
      <alignment horizontal="center" vertical="center" wrapText="1"/>
      <protection hidden="1"/>
    </xf>
    <xf numFmtId="4" fontId="11" fillId="2" borderId="1" xfId="0" applyNumberFormat="1" applyFont="1" applyFill="1" applyBorder="1" applyAlignment="1" applyProtection="1">
      <alignment horizontal="center" vertical="center" wrapText="1"/>
      <protection hidden="1"/>
    </xf>
    <xf numFmtId="166" fontId="12" fillId="0" borderId="2" xfId="0" applyNumberFormat="1" applyFont="1" applyBorder="1" applyAlignment="1" applyProtection="1">
      <alignment horizontal="left"/>
      <protection hidden="1"/>
    </xf>
    <xf numFmtId="166" fontId="12" fillId="0" borderId="2" xfId="0" applyNumberFormat="1" applyFont="1" applyBorder="1" applyAlignment="1" applyProtection="1">
      <alignment horizontal="center"/>
      <protection hidden="1"/>
    </xf>
    <xf numFmtId="0" fontId="12" fillId="0" borderId="2" xfId="0" applyFont="1" applyBorder="1" applyAlignment="1" applyProtection="1">
      <alignment horizontal="left"/>
      <protection hidden="1"/>
    </xf>
    <xf numFmtId="43" fontId="12" fillId="0" borderId="3" xfId="1" applyFont="1" applyFill="1" applyBorder="1" applyAlignment="1" applyProtection="1">
      <alignment horizontal="right"/>
      <protection hidden="1"/>
    </xf>
    <xf numFmtId="0" fontId="13" fillId="0" borderId="3" xfId="0" applyFont="1" applyBorder="1" applyAlignment="1" applyProtection="1">
      <alignment horizontal="center"/>
      <protection hidden="1"/>
    </xf>
    <xf numFmtId="0" fontId="13" fillId="0" borderId="14" xfId="0" applyFont="1" applyBorder="1" applyAlignment="1" applyProtection="1">
      <alignment horizontal="center"/>
      <protection hidden="1"/>
    </xf>
    <xf numFmtId="4" fontId="12" fillId="0" borderId="2" xfId="0" applyNumberFormat="1" applyFont="1" applyBorder="1" applyAlignment="1" applyProtection="1">
      <alignment horizontal="left"/>
      <protection hidden="1"/>
    </xf>
    <xf numFmtId="0" fontId="13" fillId="0" borderId="128" xfId="0" applyFont="1" applyBorder="1" applyAlignment="1" applyProtection="1">
      <alignment horizontal="center"/>
      <protection hidden="1"/>
    </xf>
    <xf numFmtId="166" fontId="12" fillId="0" borderId="2" xfId="0" applyNumberFormat="1" applyFont="1" applyFill="1" applyBorder="1" applyAlignment="1" applyProtection="1">
      <alignment horizontal="left"/>
      <protection hidden="1"/>
    </xf>
    <xf numFmtId="166" fontId="12" fillId="0" borderId="2" xfId="0" applyNumberFormat="1" applyFont="1" applyFill="1" applyBorder="1" applyAlignment="1" applyProtection="1">
      <alignment horizontal="center"/>
      <protection hidden="1"/>
    </xf>
    <xf numFmtId="0" fontId="12" fillId="0" borderId="2" xfId="0" applyFont="1" applyFill="1" applyBorder="1" applyAlignment="1" applyProtection="1">
      <alignment horizontal="left"/>
      <protection hidden="1"/>
    </xf>
    <xf numFmtId="4" fontId="12" fillId="0" borderId="2" xfId="0" applyNumberFormat="1" applyFont="1" applyFill="1" applyBorder="1" applyAlignment="1" applyProtection="1">
      <alignment horizontal="left"/>
      <protection hidden="1"/>
    </xf>
    <xf numFmtId="166" fontId="13" fillId="0" borderId="3" xfId="0" applyNumberFormat="1" applyFont="1" applyBorder="1" applyAlignment="1" applyProtection="1">
      <alignment horizontal="center"/>
      <protection hidden="1"/>
    </xf>
    <xf numFmtId="0" fontId="5" fillId="0" borderId="2" xfId="0" applyFont="1" applyBorder="1" applyAlignment="1" applyProtection="1">
      <alignment horizontal="left"/>
      <protection hidden="1"/>
    </xf>
    <xf numFmtId="0" fontId="13" fillId="0" borderId="128" xfId="0" applyFont="1" applyFill="1" applyBorder="1" applyAlignment="1" applyProtection="1">
      <alignment horizontal="center"/>
      <protection hidden="1"/>
    </xf>
    <xf numFmtId="3" fontId="12" fillId="0" borderId="2" xfId="0" applyNumberFormat="1" applyFont="1" applyFill="1" applyBorder="1" applyAlignment="1" applyProtection="1">
      <alignment horizontal="left"/>
      <protection hidden="1"/>
    </xf>
    <xf numFmtId="0" fontId="5" fillId="0" borderId="2" xfId="0" applyFont="1" applyFill="1" applyBorder="1" applyAlignment="1" applyProtection="1">
      <alignment horizontal="left"/>
      <protection hidden="1"/>
    </xf>
    <xf numFmtId="3" fontId="5" fillId="0" borderId="2" xfId="0" applyNumberFormat="1" applyFont="1" applyFill="1" applyBorder="1" applyAlignment="1" applyProtection="1">
      <alignment horizontal="left"/>
      <protection hidden="1"/>
    </xf>
    <xf numFmtId="4" fontId="5" fillId="0" borderId="2" xfId="0" applyNumberFormat="1" applyFont="1" applyFill="1" applyBorder="1" applyAlignment="1" applyProtection="1">
      <alignment horizontal="left"/>
      <protection hidden="1"/>
    </xf>
    <xf numFmtId="0" fontId="12" fillId="0" borderId="2" xfId="0" quotePrefix="1" applyFont="1" applyFill="1" applyBorder="1" applyAlignment="1" applyProtection="1">
      <alignment horizontal="left"/>
      <protection hidden="1"/>
    </xf>
    <xf numFmtId="166" fontId="12" fillId="0" borderId="2" xfId="2" applyNumberFormat="1" applyFont="1" applyBorder="1" applyAlignment="1" applyProtection="1">
      <alignment horizontal="center"/>
      <protection hidden="1"/>
    </xf>
    <xf numFmtId="0" fontId="12" fillId="0" borderId="2" xfId="10" applyFont="1" applyBorder="1" applyAlignment="1" applyProtection="1">
      <alignment horizontal="left"/>
      <protection hidden="1"/>
    </xf>
    <xf numFmtId="0" fontId="12" fillId="0" borderId="2" xfId="2" applyFont="1" applyBorder="1" applyAlignment="1" applyProtection="1">
      <alignment horizontal="left"/>
      <protection hidden="1"/>
    </xf>
    <xf numFmtId="0" fontId="12" fillId="0" borderId="2" xfId="10" applyFont="1" applyFill="1" applyBorder="1" applyAlignment="1" applyProtection="1">
      <alignment horizontal="left"/>
      <protection hidden="1"/>
    </xf>
    <xf numFmtId="0" fontId="12" fillId="0" borderId="2" xfId="2" applyFont="1" applyFill="1" applyBorder="1" applyAlignment="1" applyProtection="1">
      <alignment horizontal="left"/>
      <protection hidden="1"/>
    </xf>
    <xf numFmtId="0" fontId="13" fillId="0" borderId="129" xfId="0" applyFont="1" applyBorder="1" applyAlignment="1" applyProtection="1">
      <alignment horizontal="center"/>
      <protection hidden="1"/>
    </xf>
    <xf numFmtId="0" fontId="13" fillId="0" borderId="73" xfId="0" applyFont="1" applyBorder="1" applyAlignment="1" applyProtection="1">
      <alignment horizontal="center"/>
      <protection hidden="1"/>
    </xf>
    <xf numFmtId="166" fontId="12" fillId="0" borderId="2" xfId="2" applyNumberFormat="1" applyFont="1" applyBorder="1" applyProtection="1">
      <protection hidden="1"/>
    </xf>
    <xf numFmtId="0" fontId="12" fillId="0" borderId="2" xfId="2" applyFont="1" applyBorder="1" applyProtection="1">
      <protection hidden="1"/>
    </xf>
    <xf numFmtId="0" fontId="12" fillId="0" borderId="2" xfId="0" quotePrefix="1" applyFont="1" applyBorder="1" applyAlignment="1" applyProtection="1">
      <alignment horizontal="left"/>
      <protection hidden="1"/>
    </xf>
    <xf numFmtId="0" fontId="23" fillId="2" borderId="44" xfId="0" applyFont="1" applyFill="1" applyBorder="1" applyAlignment="1">
      <alignment horizontal="center" vertical="center"/>
    </xf>
    <xf numFmtId="0" fontId="23" fillId="2" borderId="66" xfId="0" applyFont="1" applyFill="1" applyBorder="1" applyAlignment="1">
      <alignment horizontal="center" vertical="center"/>
    </xf>
    <xf numFmtId="0" fontId="23" fillId="2" borderId="54" xfId="0" applyFont="1" applyFill="1" applyBorder="1" applyAlignment="1">
      <alignment horizontal="center" vertical="center"/>
    </xf>
    <xf numFmtId="176" fontId="25" fillId="0" borderId="124" xfId="9" applyNumberFormat="1" applyFont="1" applyBorder="1" applyAlignment="1" applyProtection="1">
      <alignment horizontal="center"/>
      <protection locked="0"/>
    </xf>
    <xf numFmtId="176" fontId="25" fillId="0" borderId="7" xfId="9" applyNumberFormat="1" applyFont="1" applyBorder="1" applyAlignment="1" applyProtection="1">
      <alignment horizontal="center"/>
      <protection locked="0"/>
    </xf>
    <xf numFmtId="164" fontId="6" fillId="2" borderId="104" xfId="8" applyFont="1" applyFill="1" applyBorder="1" applyAlignment="1" applyProtection="1">
      <protection locked="0" hidden="1"/>
    </xf>
    <xf numFmtId="0" fontId="5" fillId="0" borderId="116" xfId="0" applyFont="1" applyBorder="1" applyAlignment="1" applyProtection="1">
      <alignment vertical="center"/>
      <protection hidden="1"/>
    </xf>
    <xf numFmtId="43" fontId="5" fillId="0" borderId="31" xfId="1" applyFont="1" applyBorder="1" applyAlignment="1" applyProtection="1">
      <alignment vertical="center"/>
      <protection hidden="1"/>
    </xf>
    <xf numFmtId="0" fontId="5" fillId="0" borderId="31" xfId="0" applyFont="1" applyBorder="1" applyAlignment="1" applyProtection="1">
      <alignment vertical="center"/>
      <protection hidden="1"/>
    </xf>
    <xf numFmtId="0" fontId="5" fillId="0" borderId="62" xfId="0" applyFont="1" applyBorder="1" applyAlignment="1" applyProtection="1">
      <alignment vertical="center"/>
      <protection hidden="1"/>
    </xf>
    <xf numFmtId="0" fontId="5" fillId="0" borderId="32" xfId="0" applyFont="1" applyBorder="1" applyAlignment="1" applyProtection="1">
      <alignment vertical="center"/>
      <protection hidden="1"/>
    </xf>
    <xf numFmtId="0" fontId="5" fillId="0" borderId="116" xfId="0" applyFont="1" applyFill="1" applyBorder="1" applyAlignment="1" applyProtection="1">
      <alignment vertical="center"/>
      <protection hidden="1"/>
    </xf>
    <xf numFmtId="43" fontId="5" fillId="0" borderId="31" xfId="1" applyFont="1" applyFill="1" applyBorder="1" applyAlignment="1" applyProtection="1">
      <alignment vertical="center"/>
      <protection hidden="1"/>
    </xf>
    <xf numFmtId="0" fontId="5" fillId="0" borderId="31" xfId="0" applyFont="1" applyFill="1" applyBorder="1" applyAlignment="1" applyProtection="1">
      <alignment vertical="center"/>
      <protection hidden="1"/>
    </xf>
    <xf numFmtId="0" fontId="5" fillId="0" borderId="147" xfId="0" applyFont="1" applyBorder="1" applyAlignment="1" applyProtection="1">
      <alignment vertical="center"/>
      <protection hidden="1"/>
    </xf>
    <xf numFmtId="43" fontId="5" fillId="0" borderId="138" xfId="1" applyFont="1" applyBorder="1" applyAlignment="1" applyProtection="1">
      <alignment vertical="center"/>
      <protection hidden="1"/>
    </xf>
    <xf numFmtId="10" fontId="14" fillId="2" borderId="44" xfId="3" applyNumberFormat="1" applyFont="1" applyFill="1" applyBorder="1" applyAlignment="1" applyProtection="1">
      <alignment horizontal="center" vertical="center" wrapText="1"/>
      <protection hidden="1"/>
    </xf>
    <xf numFmtId="10" fontId="14" fillId="2" borderId="54" xfId="3" applyNumberFormat="1" applyFont="1" applyFill="1" applyBorder="1" applyAlignment="1" applyProtection="1">
      <alignment horizontal="center" vertical="center" wrapText="1"/>
      <protection hidden="1"/>
    </xf>
    <xf numFmtId="10" fontId="5" fillId="0" borderId="66" xfId="3" applyNumberFormat="1" applyFont="1" applyFill="1" applyBorder="1" applyAlignment="1" applyProtection="1">
      <alignment horizontal="center"/>
      <protection hidden="1"/>
    </xf>
    <xf numFmtId="164" fontId="14" fillId="2" borderId="68" xfId="6" applyFont="1" applyFill="1" applyBorder="1" applyAlignment="1" applyProtection="1">
      <alignment horizontal="center"/>
      <protection hidden="1"/>
    </xf>
    <xf numFmtId="164" fontId="14" fillId="2" borderId="96" xfId="6" applyFont="1" applyFill="1" applyBorder="1" applyAlignment="1" applyProtection="1">
      <alignment horizontal="center"/>
      <protection hidden="1"/>
    </xf>
    <xf numFmtId="164" fontId="14" fillId="2" borderId="24" xfId="6" applyFont="1" applyFill="1" applyBorder="1" applyAlignment="1" applyProtection="1">
      <alignment horizontal="center"/>
      <protection hidden="1"/>
    </xf>
    <xf numFmtId="10" fontId="14" fillId="2" borderId="44" xfId="3" applyNumberFormat="1" applyFont="1" applyFill="1" applyBorder="1" applyAlignment="1" applyProtection="1">
      <alignment horizontal="center" vertical="center" wrapText="1"/>
      <protection locked="0" hidden="1"/>
    </xf>
    <xf numFmtId="10" fontId="14" fillId="2" borderId="54" xfId="3" applyNumberFormat="1" applyFont="1" applyFill="1" applyBorder="1" applyAlignment="1" applyProtection="1">
      <alignment horizontal="center" vertical="center" wrapText="1"/>
      <protection locked="0" hidden="1"/>
    </xf>
    <xf numFmtId="0" fontId="14" fillId="2" borderId="44" xfId="0" applyFont="1" applyFill="1" applyBorder="1" applyAlignment="1" applyProtection="1">
      <alignment horizontal="left" vertical="center" wrapText="1"/>
      <protection hidden="1"/>
    </xf>
    <xf numFmtId="0" fontId="14" fillId="2" borderId="66" xfId="0" applyFont="1" applyFill="1" applyBorder="1" applyAlignment="1" applyProtection="1">
      <alignment horizontal="left" vertical="center" wrapText="1"/>
      <protection hidden="1"/>
    </xf>
    <xf numFmtId="43" fontId="5" fillId="0" borderId="74" xfId="0" applyNumberFormat="1" applyFont="1" applyBorder="1" applyAlignment="1" applyProtection="1">
      <alignment vertical="center"/>
      <protection hidden="1"/>
    </xf>
    <xf numFmtId="43" fontId="5" fillId="0" borderId="76" xfId="0" applyNumberFormat="1" applyFont="1" applyBorder="1" applyAlignment="1" applyProtection="1">
      <alignment vertical="center"/>
      <protection hidden="1"/>
    </xf>
    <xf numFmtId="0" fontId="5" fillId="0" borderId="76" xfId="0" applyFont="1" applyBorder="1" applyAlignment="1" applyProtection="1">
      <alignment vertical="center"/>
      <protection hidden="1"/>
    </xf>
    <xf numFmtId="0" fontId="5" fillId="0" borderId="142" xfId="0" applyFont="1" applyBorder="1" applyAlignment="1" applyProtection="1">
      <alignment vertical="center"/>
      <protection hidden="1"/>
    </xf>
    <xf numFmtId="43" fontId="5" fillId="0" borderId="42" xfId="1" applyFont="1" applyBorder="1" applyAlignment="1" applyProtection="1">
      <alignment vertical="center"/>
      <protection hidden="1"/>
    </xf>
    <xf numFmtId="43" fontId="5" fillId="0" borderId="43" xfId="1" applyFont="1" applyBorder="1" applyAlignment="1" applyProtection="1">
      <alignment vertical="center"/>
      <protection hidden="1"/>
    </xf>
    <xf numFmtId="0" fontId="5" fillId="0" borderId="43" xfId="0" applyFont="1" applyBorder="1" applyAlignment="1" applyProtection="1">
      <alignment vertical="center"/>
      <protection hidden="1"/>
    </xf>
    <xf numFmtId="0" fontId="5" fillId="0" borderId="38" xfId="0" applyFont="1" applyBorder="1" applyAlignment="1" applyProtection="1">
      <alignment vertical="center"/>
      <protection hidden="1"/>
    </xf>
    <xf numFmtId="0" fontId="5" fillId="0" borderId="75" xfId="0" applyFont="1" applyBorder="1" applyAlignment="1" applyProtection="1">
      <alignment vertical="center"/>
      <protection hidden="1"/>
    </xf>
    <xf numFmtId="0" fontId="5" fillId="0" borderId="39" xfId="0" applyFont="1" applyFill="1" applyBorder="1" applyAlignment="1" applyProtection="1">
      <alignment vertical="center"/>
      <protection hidden="1"/>
    </xf>
    <xf numFmtId="0" fontId="5" fillId="0" borderId="40" xfId="0" applyFont="1" applyFill="1" applyBorder="1" applyAlignment="1" applyProtection="1">
      <alignment vertical="center"/>
      <protection hidden="1"/>
    </xf>
    <xf numFmtId="0" fontId="5" fillId="0" borderId="41" xfId="0" applyFont="1" applyFill="1" applyBorder="1" applyAlignment="1" applyProtection="1">
      <alignment vertical="center"/>
      <protection hidden="1"/>
    </xf>
    <xf numFmtId="43" fontId="5" fillId="0" borderId="53" xfId="1" applyFont="1" applyBorder="1" applyAlignment="1" applyProtection="1">
      <alignment vertical="center"/>
      <protection locked="0" hidden="1"/>
    </xf>
    <xf numFmtId="43" fontId="5" fillId="0" borderId="51" xfId="1" applyFont="1" applyBorder="1" applyAlignment="1" applyProtection="1">
      <alignment vertical="center"/>
      <protection locked="0" hidden="1"/>
    </xf>
    <xf numFmtId="0" fontId="5" fillId="0" borderId="51" xfId="0" applyFont="1" applyBorder="1" applyAlignment="1" applyProtection="1">
      <alignment vertical="center"/>
      <protection locked="0" hidden="1"/>
    </xf>
    <xf numFmtId="0" fontId="5" fillId="0" borderId="52" xfId="0" applyFont="1" applyBorder="1" applyAlignment="1" applyProtection="1">
      <alignment vertical="center"/>
      <protection locked="0" hidden="1"/>
    </xf>
    <xf numFmtId="43" fontId="5" fillId="0" borderId="150" xfId="1" applyFont="1" applyBorder="1" applyAlignment="1" applyProtection="1">
      <alignment horizontal="center" vertical="center"/>
      <protection locked="0" hidden="1"/>
    </xf>
    <xf numFmtId="43" fontId="5" fillId="0" borderId="151" xfId="1" applyFont="1" applyBorder="1" applyAlignment="1" applyProtection="1">
      <alignment horizontal="center" vertical="center"/>
      <protection locked="0" hidden="1"/>
    </xf>
    <xf numFmtId="43" fontId="5" fillId="0" borderId="63" xfId="1" applyFont="1" applyBorder="1" applyAlignment="1" applyProtection="1">
      <alignment vertical="center"/>
      <protection hidden="1"/>
    </xf>
    <xf numFmtId="43" fontId="5" fillId="0" borderId="56" xfId="0" applyNumberFormat="1" applyFont="1" applyBorder="1" applyAlignment="1" applyProtection="1">
      <alignment vertical="center"/>
      <protection hidden="1"/>
    </xf>
    <xf numFmtId="0" fontId="5" fillId="0" borderId="39" xfId="0" applyFont="1" applyFill="1" applyBorder="1" applyAlignment="1" applyProtection="1">
      <alignment horizontal="left" vertical="center"/>
      <protection hidden="1"/>
    </xf>
    <xf numFmtId="0" fontId="5" fillId="0" borderId="40" xfId="0" applyFont="1" applyFill="1" applyBorder="1" applyAlignment="1" applyProtection="1">
      <alignment horizontal="left" vertical="center"/>
      <protection hidden="1"/>
    </xf>
    <xf numFmtId="0" fontId="5" fillId="0" borderId="41" xfId="0" applyFont="1" applyFill="1" applyBorder="1" applyAlignment="1" applyProtection="1">
      <alignment horizontal="left" vertical="center"/>
      <protection hidden="1"/>
    </xf>
    <xf numFmtId="0" fontId="5" fillId="0" borderId="55" xfId="0" applyFont="1" applyFill="1" applyBorder="1" applyAlignment="1" applyProtection="1">
      <alignment horizontal="left" vertical="center"/>
      <protection hidden="1"/>
    </xf>
    <xf numFmtId="164" fontId="16" fillId="8" borderId="100" xfId="6" applyFont="1" applyFill="1" applyBorder="1" applyAlignment="1" applyProtection="1">
      <alignment horizontal="center"/>
      <protection hidden="1"/>
    </xf>
    <xf numFmtId="0" fontId="14" fillId="2" borderId="44" xfId="3" applyNumberFormat="1" applyFont="1" applyFill="1" applyBorder="1" applyAlignment="1" applyProtection="1">
      <alignment horizontal="center" vertical="center" wrapText="1"/>
      <protection hidden="1"/>
    </xf>
    <xf numFmtId="0" fontId="14" fillId="2" borderId="54" xfId="3" applyNumberFormat="1" applyFont="1" applyFill="1" applyBorder="1" applyAlignment="1" applyProtection="1">
      <alignment horizontal="center" vertical="center" wrapText="1"/>
      <protection hidden="1"/>
    </xf>
    <xf numFmtId="164" fontId="16" fillId="8" borderId="128" xfId="6" applyFont="1" applyFill="1" applyBorder="1" applyAlignment="1" applyProtection="1">
      <alignment horizontal="center"/>
      <protection hidden="1"/>
    </xf>
    <xf numFmtId="164" fontId="16" fillId="0" borderId="128" xfId="6" applyFont="1" applyFill="1" applyBorder="1" applyAlignment="1" applyProtection="1">
      <alignment horizontal="center"/>
      <protection hidden="1"/>
    </xf>
    <xf numFmtId="164" fontId="16" fillId="0" borderId="69" xfId="6" applyFont="1" applyFill="1" applyBorder="1" applyAlignment="1" applyProtection="1">
      <alignment horizontal="center"/>
      <protection hidden="1"/>
    </xf>
    <xf numFmtId="0" fontId="5" fillId="0" borderId="39" xfId="0" applyFont="1" applyBorder="1" applyAlignment="1" applyProtection="1">
      <alignment vertical="center"/>
      <protection hidden="1"/>
    </xf>
    <xf numFmtId="0" fontId="5" fillId="0" borderId="40" xfId="0" applyFont="1" applyBorder="1" applyAlignment="1" applyProtection="1">
      <alignment vertical="center"/>
      <protection hidden="1"/>
    </xf>
    <xf numFmtId="0" fontId="5" fillId="0" borderId="41" xfId="0" applyFont="1" applyBorder="1" applyAlignment="1" applyProtection="1">
      <alignment vertical="center"/>
      <protection hidden="1"/>
    </xf>
    <xf numFmtId="43" fontId="5" fillId="0" borderId="151" xfId="1" applyFont="1" applyBorder="1" applyAlignment="1" applyProtection="1">
      <alignment vertical="center"/>
      <protection locked="0" hidden="1"/>
    </xf>
    <xf numFmtId="0" fontId="5" fillId="0" borderId="151" xfId="0" applyFont="1" applyBorder="1" applyAlignment="1" applyProtection="1">
      <alignment vertical="center"/>
      <protection locked="0" hidden="1"/>
    </xf>
    <xf numFmtId="43" fontId="5" fillId="0" borderId="150" xfId="1" applyFont="1" applyBorder="1" applyAlignment="1" applyProtection="1">
      <alignment vertical="center"/>
      <protection locked="0" hidden="1"/>
    </xf>
    <xf numFmtId="43" fontId="5" fillId="0" borderId="52" xfId="1" applyFont="1" applyBorder="1" applyAlignment="1" applyProtection="1">
      <alignment vertical="center"/>
      <protection locked="0" hidden="1"/>
    </xf>
    <xf numFmtId="43" fontId="5" fillId="0" borderId="38" xfId="1" applyFont="1" applyBorder="1" applyAlignment="1" applyProtection="1">
      <alignment vertical="center"/>
      <protection hidden="1"/>
    </xf>
    <xf numFmtId="0" fontId="14" fillId="2" borderId="44" xfId="7" applyFont="1" applyFill="1" applyBorder="1" applyAlignment="1" applyProtection="1">
      <alignment horizontal="center"/>
      <protection hidden="1"/>
    </xf>
    <xf numFmtId="0" fontId="14" fillId="2" borderId="66" xfId="7" applyFont="1" applyFill="1" applyBorder="1" applyAlignment="1" applyProtection="1">
      <alignment horizontal="center"/>
      <protection hidden="1"/>
    </xf>
    <xf numFmtId="0" fontId="14" fillId="2" borderId="54" xfId="7" applyFont="1" applyFill="1" applyBorder="1" applyAlignment="1" applyProtection="1">
      <alignment horizontal="center"/>
      <protection hidden="1"/>
    </xf>
    <xf numFmtId="0" fontId="14" fillId="2" borderId="63" xfId="0" applyFont="1" applyFill="1" applyBorder="1" applyAlignment="1" applyProtection="1">
      <alignment horizontal="center" textRotation="90" wrapText="1"/>
      <protection hidden="1"/>
    </xf>
    <xf numFmtId="0" fontId="14" fillId="2" borderId="114" xfId="0" applyFont="1" applyFill="1" applyBorder="1" applyAlignment="1" applyProtection="1">
      <alignment horizontal="center" textRotation="90" wrapText="1"/>
      <protection hidden="1"/>
    </xf>
    <xf numFmtId="0" fontId="14" fillId="2" borderId="63" xfId="0" applyFont="1" applyFill="1" applyBorder="1" applyAlignment="1" applyProtection="1">
      <alignment horizontal="center" vertical="center"/>
      <protection hidden="1"/>
    </xf>
    <xf numFmtId="0" fontId="14" fillId="2" borderId="114" xfId="0" applyFont="1" applyFill="1" applyBorder="1" applyAlignment="1" applyProtection="1">
      <alignment horizontal="center" vertical="center"/>
      <protection hidden="1"/>
    </xf>
    <xf numFmtId="0" fontId="14" fillId="2" borderId="77" xfId="0" applyFont="1" applyFill="1" applyBorder="1" applyAlignment="1" applyProtection="1">
      <alignment horizontal="center"/>
      <protection hidden="1"/>
    </xf>
    <xf numFmtId="0" fontId="14" fillId="2" borderId="78" xfId="0" applyFont="1" applyFill="1" applyBorder="1" applyAlignment="1" applyProtection="1">
      <alignment horizontal="center"/>
      <protection hidden="1"/>
    </xf>
    <xf numFmtId="0" fontId="14" fillId="2" borderId="113" xfId="0" applyFont="1" applyFill="1" applyBorder="1" applyAlignment="1" applyProtection="1">
      <alignment horizontal="center"/>
      <protection hidden="1"/>
    </xf>
    <xf numFmtId="0" fontId="5" fillId="0" borderId="68" xfId="0" applyFont="1" applyBorder="1" applyAlignment="1" applyProtection="1">
      <alignment vertical="top" wrapText="1"/>
      <protection hidden="1"/>
    </xf>
    <xf numFmtId="0" fontId="0" fillId="0" borderId="96" xfId="0" applyBorder="1" applyAlignment="1" applyProtection="1">
      <alignment vertical="top" wrapText="1"/>
      <protection hidden="1"/>
    </xf>
    <xf numFmtId="0" fontId="5" fillId="6" borderId="0" xfId="0" applyFont="1" applyFill="1" applyAlignment="1" applyProtection="1">
      <alignment horizontal="left"/>
      <protection locked="0" hidden="1"/>
    </xf>
    <xf numFmtId="0" fontId="5" fillId="0" borderId="0" xfId="0" applyFont="1" applyAlignment="1" applyProtection="1">
      <alignment horizontal="left" wrapText="1"/>
      <protection hidden="1"/>
    </xf>
    <xf numFmtId="0" fontId="5" fillId="0" borderId="175" xfId="0" applyFont="1" applyBorder="1" applyAlignment="1" applyProtection="1">
      <alignment horizontal="left" vertical="top" wrapText="1"/>
      <protection locked="0" hidden="1"/>
    </xf>
    <xf numFmtId="0" fontId="0" fillId="0" borderId="176" xfId="0" applyBorder="1" applyAlignment="1" applyProtection="1">
      <alignment vertical="top" wrapText="1"/>
      <protection locked="0" hidden="1"/>
    </xf>
    <xf numFmtId="0" fontId="5" fillId="0" borderId="117" xfId="0" applyFont="1" applyBorder="1" applyAlignment="1" applyProtection="1">
      <alignment vertical="top" wrapText="1"/>
      <protection locked="0" hidden="1"/>
    </xf>
    <xf numFmtId="0" fontId="0" fillId="0" borderId="118" xfId="0" applyBorder="1" applyAlignment="1" applyProtection="1">
      <alignment vertical="top" wrapText="1"/>
      <protection locked="0" hidden="1"/>
    </xf>
    <xf numFmtId="0" fontId="24" fillId="2" borderId="44" xfId="0" applyFont="1" applyFill="1" applyBorder="1" applyAlignment="1">
      <alignment horizontal="center" vertical="center"/>
    </xf>
    <xf numFmtId="0" fontId="24" fillId="2" borderId="66" xfId="0" applyFont="1" applyFill="1" applyBorder="1" applyAlignment="1">
      <alignment horizontal="center" vertical="center"/>
    </xf>
    <xf numFmtId="0" fontId="24" fillId="2" borderId="54" xfId="0" applyFont="1" applyFill="1" applyBorder="1" applyAlignment="1">
      <alignment horizontal="center" vertical="center"/>
    </xf>
  </cellXfs>
  <cellStyles count="24">
    <cellStyle name="Comma_Uurtarieven 2000 LEVERANCIER" xfId="5" xr:uid="{B2EB8625-6318-47C5-8579-F18BBDFAA81E}"/>
    <cellStyle name="Currency_ATIR-Calc-Uurtarief 2001" xfId="17" xr:uid="{AD4901C4-03AF-4447-A416-A746F35273B4}"/>
    <cellStyle name="Hyperlink" xfId="23" builtinId="8"/>
    <cellStyle name="Komma" xfId="1" builtinId="3"/>
    <cellStyle name="Komma 2" xfId="11" xr:uid="{75F42F4A-0E16-4E01-854E-2D32AF80B3BB}"/>
    <cellStyle name="Normal_Uurtarieven 2000 LEVERANCIER" xfId="4" xr:uid="{5F792319-886F-4144-A83F-BCA3FD2E460F}"/>
    <cellStyle name="Procent" xfId="3" builtinId="5"/>
    <cellStyle name="Procent 2" xfId="12" xr:uid="{D1E39745-2349-4252-925D-C8B3A3213A0C}"/>
    <cellStyle name="Standaard" xfId="0" builtinId="0"/>
    <cellStyle name="Standaard 2" xfId="10" xr:uid="{899D287D-91C1-47C6-A991-9185D1A373BF}"/>
    <cellStyle name="Standaard 2 2" xfId="19" xr:uid="{CB165669-E34D-4880-A5F8-8A229950DC6A}"/>
    <cellStyle name="Standaard 2 3" xfId="2" xr:uid="{A7394363-249B-4406-AF74-919112631EBF}"/>
    <cellStyle name="Standaard 3" xfId="18" xr:uid="{B1F93AA3-0B63-4074-B12E-F6899B864138}"/>
    <cellStyle name="Standaard 4" xfId="7" xr:uid="{6C2D982D-9F64-4D3F-8E43-C1AFC87412B1}"/>
    <cellStyle name="Standaard 4 2" xfId="20" xr:uid="{7F0FC9CA-0B11-456A-B474-C6C23532B382}"/>
    <cellStyle name="Standaard 5" xfId="15" xr:uid="{046BF7AB-61A3-46F7-9D49-59C7CFAACDCA}"/>
    <cellStyle name="Standaard 6" xfId="14" xr:uid="{30FE8AAE-3F06-4DFD-956F-C3C980178B31}"/>
    <cellStyle name="Standaard_Bijlage 2 Werkprogramma's" xfId="9" xr:uid="{B1C6C17D-498D-473C-ABED-B64507CAFCFA}"/>
    <cellStyle name="Valuta" xfId="22" builtinId="4"/>
    <cellStyle name="Valuta 2" xfId="6" xr:uid="{9932231B-8564-4ED5-82E4-DD7566F90D6C}"/>
    <cellStyle name="Valuta 2 2" xfId="8" xr:uid="{0DC49F37-2708-48AB-B16F-8BABA7302E7E}"/>
    <cellStyle name="Valuta 2 3" xfId="13" xr:uid="{D0165B1D-4049-4A76-BEE5-2E80FFF0966E}"/>
    <cellStyle name="Valuta 3" xfId="21" xr:uid="{8A58970A-A280-4E4B-BE01-263DA2C2399C}"/>
    <cellStyle name="Valuta 4" xfId="16" xr:uid="{671657B8-32DD-4323-B83F-D8EED0889FD3}"/>
  </cellStyles>
  <dxfs count="93">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9" tint="0.79998168889431442"/>
        </patternFill>
      </fill>
    </dxf>
    <dxf>
      <fill>
        <patternFill>
          <bgColor theme="9" tint="0.59996337778862885"/>
        </patternFill>
      </fill>
    </dxf>
    <dxf>
      <fill>
        <patternFill>
          <bgColor theme="9" tint="0.79998168889431442"/>
        </patternFill>
      </fill>
    </dxf>
    <dxf>
      <fill>
        <patternFill>
          <bgColor theme="8" tint="0.79998168889431442"/>
        </patternFill>
      </fill>
    </dxf>
    <dxf>
      <fill>
        <patternFill>
          <bgColor theme="0" tint="-0.14996795556505021"/>
        </patternFill>
      </fill>
    </dxf>
    <dxf>
      <fill>
        <patternFill>
          <bgColor theme="8" tint="0.79998168889431442"/>
        </patternFill>
      </fill>
    </dxf>
    <dxf>
      <fill>
        <patternFill>
          <bgColor theme="9" tint="0.79998168889431442"/>
        </patternFill>
      </fill>
    </dxf>
    <dxf>
      <fill>
        <patternFill>
          <bgColor theme="9" tint="0.79998168889431442"/>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ill>
        <patternFill>
          <bgColor theme="8" tint="0.79998168889431442"/>
        </patternFill>
      </fill>
    </dxf>
    <dxf>
      <font>
        <color rgb="FFFF0000"/>
      </font>
      <fill>
        <patternFill>
          <bgColor rgb="FFFF0000"/>
        </patternFill>
      </fill>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font>
        <b val="0"/>
        <i val="0"/>
        <strike val="0"/>
        <condense val="0"/>
        <extend val="0"/>
        <outline val="0"/>
        <shadow val="0"/>
        <u val="none"/>
        <vertAlign val="baseline"/>
        <sz val="9"/>
        <color auto="1"/>
        <name val="Calibri"/>
        <family val="2"/>
        <scheme val="minor"/>
      </font>
      <alignment horizontal="center" vertical="bottom" textRotation="0" wrapText="0" indent="0" justifyLastLine="0" shrinkToFit="0" readingOrder="0"/>
      <border diagonalUp="0" diagonalDown="0">
        <left style="hair">
          <color indexed="64"/>
        </left>
        <right/>
        <top style="hair">
          <color auto="1"/>
        </top>
        <bottom style="hair">
          <color auto="1"/>
        </bottom>
        <vertical/>
        <horizontal/>
      </border>
      <protection locked="0" hidden="0"/>
    </dxf>
    <dxf>
      <font>
        <b val="0"/>
        <i val="0"/>
        <strike val="0"/>
        <condense val="0"/>
        <extend val="0"/>
        <outline val="0"/>
        <shadow val="0"/>
        <u val="none"/>
        <vertAlign val="baseline"/>
        <sz val="9"/>
        <color auto="1"/>
        <name val="Calibri"/>
        <family val="2"/>
        <scheme val="minor"/>
      </font>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9"/>
        <color auto="1"/>
        <name val="Calibri"/>
        <family val="2"/>
        <scheme val="minor"/>
      </font>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9"/>
        <color auto="1"/>
        <name val="Calibri"/>
        <family val="2"/>
        <scheme val="minor"/>
      </font>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9"/>
        <color auto="1"/>
        <name val="Calibri"/>
        <family val="2"/>
        <scheme val="minor"/>
      </font>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9"/>
        <color auto="1"/>
        <name val="Calibri"/>
        <family val="2"/>
        <scheme val="minor"/>
      </font>
      <alignment horizontal="center" vertical="bottom"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9"/>
        <color auto="1"/>
        <name val="Calibri"/>
        <family val="2"/>
        <scheme val="minor"/>
      </font>
      <border diagonalUp="0" diagonalDown="0">
        <left style="thin">
          <color indexed="64"/>
        </left>
        <right style="thin">
          <color indexed="64"/>
        </right>
        <top style="hair">
          <color indexed="64"/>
        </top>
        <bottom style="hair">
          <color indexed="64"/>
        </bottom>
        <vertical/>
        <horizontal/>
      </border>
      <protection locked="0" hidden="0"/>
    </dxf>
    <dxf>
      <font>
        <b val="0"/>
        <i val="0"/>
        <strike val="0"/>
        <condense val="0"/>
        <extend val="0"/>
        <outline val="0"/>
        <shadow val="0"/>
        <u val="none"/>
        <vertAlign val="baseline"/>
        <sz val="9"/>
        <color auto="1"/>
        <name val="Calibri"/>
        <family val="2"/>
        <scheme val="minor"/>
      </font>
      <border diagonalUp="0" diagonalDown="0">
        <left/>
        <right style="thin">
          <color indexed="64"/>
        </right>
        <top style="hair">
          <color auto="1"/>
        </top>
        <bottom style="hair">
          <color auto="1"/>
        </bottom>
        <vertical/>
        <horizontal/>
      </border>
      <protection locked="0" hidden="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auto="1"/>
        <name val="Calibri"/>
        <family val="2"/>
        <scheme val="minor"/>
      </font>
      <alignment horizontal="center" vertical="bottom" textRotation="0" wrapText="0" indent="0" justifyLastLine="0" shrinkToFit="0" readingOrder="0"/>
      <protection locked="0" hidden="0"/>
    </dxf>
    <dxf>
      <border outline="0">
        <bottom style="medium">
          <color indexed="64"/>
        </bottom>
      </border>
    </dxf>
    <dxf>
      <font>
        <b/>
        <i val="0"/>
        <strike val="0"/>
        <condense val="0"/>
        <extend val="0"/>
        <outline val="0"/>
        <shadow val="0"/>
        <u val="none"/>
        <vertAlign val="baseline"/>
        <sz val="9"/>
        <color theme="0"/>
        <name val="Calibri"/>
        <family val="2"/>
        <scheme val="minor"/>
      </font>
      <fill>
        <patternFill patternType="solid">
          <fgColor indexed="64"/>
          <bgColor theme="4" tint="0.39997558519241921"/>
        </patternFill>
      </fill>
      <alignment horizontal="center" vertical="bottom" textRotation="0" wrapText="0" indent="0" justifyLastLine="0" shrinkToFit="0" readingOrder="0"/>
      <border diagonalUp="0" diagonalDown="0" outline="0">
        <left style="hair">
          <color indexed="64"/>
        </left>
        <right style="hair">
          <color indexed="64"/>
        </right>
        <top/>
        <bottom/>
      </border>
      <protection locked="0" hidden="0"/>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diagonalUp="0" diagonalDown="0">
        <left/>
        <right/>
        <top style="hair">
          <color auto="1"/>
        </top>
        <bottom/>
        <vertical/>
        <horizontal/>
      </border>
    </dxf>
    <dxf>
      <border outline="0">
        <top style="hair">
          <color auto="1"/>
        </top>
      </border>
    </dxf>
    <dxf>
      <font>
        <b val="0"/>
        <i val="0"/>
        <strike val="0"/>
        <condense val="0"/>
        <extend val="0"/>
        <outline val="0"/>
        <shadow val="0"/>
        <u val="none"/>
        <vertAlign val="baseline"/>
        <sz val="9"/>
        <color indexed="56"/>
        <name val="Calibri"/>
        <family val="2"/>
        <scheme val="minor"/>
      </font>
      <numFmt numFmtId="0" formatCode="General"/>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border>
      <protection locked="1" hidden="1"/>
    </dxf>
    <dxf>
      <font>
        <b val="0"/>
        <i val="0"/>
        <strike val="0"/>
        <condense val="0"/>
        <extend val="0"/>
        <outline val="0"/>
        <shadow val="0"/>
        <u val="none"/>
        <vertAlign val="baseline"/>
        <sz val="9"/>
        <color indexed="56"/>
        <name val="Calibri"/>
        <family val="2"/>
        <scheme val="minor"/>
      </font>
      <numFmt numFmtId="0" formatCode="General"/>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border>
      <protection locked="1" hidden="1"/>
    </dxf>
    <dxf>
      <font>
        <b val="0"/>
        <i val="0"/>
        <strike val="0"/>
        <condense val="0"/>
        <extend val="0"/>
        <outline val="0"/>
        <shadow val="0"/>
        <u val="none"/>
        <vertAlign val="baseline"/>
        <sz val="9"/>
        <color indexed="56"/>
        <name val="Calibri"/>
        <family val="2"/>
        <scheme val="minor"/>
      </font>
      <numFmt numFmtId="0" formatCode="General"/>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border>
      <protection locked="1" hidden="1"/>
    </dxf>
    <dxf>
      <font>
        <b val="0"/>
        <i val="0"/>
        <strike val="0"/>
        <condense val="0"/>
        <extend val="0"/>
        <outline val="0"/>
        <shadow val="0"/>
        <u val="none"/>
        <vertAlign val="baseline"/>
        <sz val="8"/>
        <color indexed="56"/>
        <name val="Swis721 BT"/>
        <family val="2"/>
        <scheme val="none"/>
      </font>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indexed="56"/>
        <name val="Calibri"/>
        <family val="2"/>
        <scheme val="minor"/>
      </font>
      <alignment horizontal="center" vertical="bottom" textRotation="0" wrapText="0" indent="0" justifyLastLine="0" shrinkToFit="0" readingOrder="0"/>
      <border diagonalUp="0" diagonalDown="0">
        <left style="thin">
          <color indexed="64"/>
        </left>
        <right/>
        <top/>
        <bottom/>
      </border>
      <protection locked="1" hidden="1"/>
    </dxf>
    <dxf>
      <font>
        <b val="0"/>
        <i val="0"/>
        <strike val="0"/>
        <condense val="0"/>
        <extend val="0"/>
        <outline val="0"/>
        <shadow val="0"/>
        <u val="none"/>
        <vertAlign val="baseline"/>
        <sz val="8"/>
        <color theme="4" tint="-0.499984740745262"/>
        <name val="Swis721 BT"/>
        <family val="2"/>
        <scheme val="none"/>
      </font>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4" tint="-0.499984740745262"/>
        <name val="Calibri"/>
        <family val="2"/>
        <scheme val="minor"/>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top/>
        <bottom/>
      </border>
      <protection locked="1" hidden="1"/>
    </dxf>
    <dxf>
      <font>
        <b val="0"/>
        <i val="0"/>
        <strike val="0"/>
        <condense val="0"/>
        <extend val="0"/>
        <outline val="0"/>
        <shadow val="0"/>
        <u val="none"/>
        <vertAlign val="baseline"/>
        <sz val="8"/>
        <color theme="4" tint="-0.499984740745262"/>
        <name val="Swis721 BT"/>
        <family val="2"/>
        <scheme val="none"/>
      </font>
      <alignment horizontal="left"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theme="4" tint="-0.499984740745262"/>
        <name val="Calibri"/>
        <family val="2"/>
        <scheme val="minor"/>
      </font>
      <alignment horizontal="left" vertical="bottom" textRotation="0" wrapText="0" indent="0" justifyLastLine="0" shrinkToFit="0" readingOrder="0"/>
      <border diagonalUp="0" diagonalDown="0">
        <left/>
        <right style="thin">
          <color indexed="64"/>
        </right>
        <top/>
        <bottom/>
      </border>
      <protection locked="1" hidden="1"/>
    </dxf>
    <dxf>
      <font>
        <b val="0"/>
        <i val="0"/>
        <strike val="0"/>
        <condense val="0"/>
        <extend val="0"/>
        <outline val="0"/>
        <shadow val="0"/>
        <u val="none"/>
        <vertAlign val="baseline"/>
        <sz val="8"/>
        <color theme="4" tint="-0.499984740745262"/>
        <name val="Swis721 BT"/>
        <family val="2"/>
        <scheme val="none"/>
      </font>
      <alignment horizontal="left"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theme="4" tint="-0.499984740745262"/>
        <name val="Calibri"/>
        <family val="2"/>
        <scheme val="minor"/>
      </font>
      <alignment horizontal="left" vertical="bottom" textRotation="0" wrapText="0" indent="0" justifyLastLine="0" shrinkToFit="0" readingOrder="0"/>
      <border diagonalUp="0" diagonalDown="0">
        <left/>
        <right style="thin">
          <color indexed="64"/>
        </right>
        <top/>
        <bottom/>
      </border>
      <protection locked="1" hidden="1"/>
    </dxf>
    <dxf>
      <font>
        <b val="0"/>
        <i val="0"/>
        <strike val="0"/>
        <condense val="0"/>
        <extend val="0"/>
        <outline val="0"/>
        <shadow val="0"/>
        <u val="none"/>
        <vertAlign val="baseline"/>
        <sz val="8"/>
        <color theme="4" tint="-0.499984740745262"/>
        <name val="Swis721 BT"/>
        <family val="2"/>
        <scheme val="none"/>
      </font>
      <numFmt numFmtId="166" formatCode="00"/>
      <alignment horizontal="left"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theme="4" tint="-0.499984740745262"/>
        <name val="Calibri"/>
        <family val="2"/>
        <scheme val="minor"/>
      </font>
      <numFmt numFmtId="166" formatCode="00"/>
      <alignment horizontal="left" vertical="bottom" textRotation="0" wrapText="0" indent="0" justifyLastLine="0" shrinkToFit="0" readingOrder="0"/>
      <border diagonalUp="0" diagonalDown="0">
        <left/>
        <right style="thin">
          <color indexed="64"/>
        </right>
        <top/>
        <bottom/>
      </border>
      <protection locked="1" hidden="1"/>
    </dxf>
    <dxf>
      <font>
        <b val="0"/>
        <i val="0"/>
        <strike val="0"/>
        <condense val="0"/>
        <extend val="0"/>
        <outline val="0"/>
        <shadow val="0"/>
        <u val="none"/>
        <vertAlign val="baseline"/>
        <sz val="8"/>
        <color theme="4" tint="-0.499984740745262"/>
        <name val="Swis721 BT"/>
        <family val="2"/>
        <scheme val="none"/>
      </font>
      <alignment horizontal="left"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theme="4" tint="-0.499984740745262"/>
        <name val="Calibri"/>
        <family val="2"/>
        <scheme val="minor"/>
      </font>
      <alignment horizontal="left" vertical="bottom" textRotation="0" wrapText="0" indent="0" justifyLastLine="0" shrinkToFit="0" readingOrder="0"/>
      <border diagonalUp="0" diagonalDown="0">
        <left/>
        <right style="thin">
          <color indexed="64"/>
        </right>
        <top/>
        <bottom/>
      </border>
      <protection locked="1" hidden="1"/>
    </dxf>
    <dxf>
      <font>
        <b val="0"/>
        <i val="0"/>
        <strike val="0"/>
        <condense val="0"/>
        <extend val="0"/>
        <outline val="0"/>
        <shadow val="0"/>
        <u val="none"/>
        <vertAlign val="baseline"/>
        <sz val="8"/>
        <color theme="4" tint="-0.499984740745262"/>
        <name val="Swis721 BT"/>
        <family val="2"/>
        <scheme val="none"/>
      </font>
      <numFmt numFmtId="166" formatCode="00"/>
      <alignment horizontal="center"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theme="4" tint="-0.499984740745262"/>
        <name val="Calibri"/>
        <family val="2"/>
        <scheme val="minor"/>
      </font>
      <numFmt numFmtId="166" formatCode="00"/>
      <alignment horizontal="center" vertical="bottom" textRotation="0" wrapText="0" indent="0" justifyLastLine="0" shrinkToFit="0" readingOrder="0"/>
      <border diagonalUp="0" diagonalDown="0">
        <left/>
        <right style="thin">
          <color indexed="64"/>
        </right>
        <top/>
        <bottom/>
      </border>
      <protection locked="1" hidden="1"/>
    </dxf>
    <dxf>
      <font>
        <b val="0"/>
        <i val="0"/>
        <strike val="0"/>
        <condense val="0"/>
        <extend val="0"/>
        <outline val="0"/>
        <shadow val="0"/>
        <u val="none"/>
        <vertAlign val="baseline"/>
        <sz val="8"/>
        <color theme="4" tint="-0.499984740745262"/>
        <name val="Swis721 BT"/>
        <family val="2"/>
        <scheme val="none"/>
      </font>
      <alignment horizontal="left"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theme="4" tint="-0.499984740745262"/>
        <name val="Calibri"/>
        <family val="2"/>
        <scheme val="minor"/>
      </font>
      <alignment horizontal="left" vertical="bottom" textRotation="0" wrapText="0" indent="0" justifyLastLine="0" shrinkToFit="0" readingOrder="0"/>
      <border diagonalUp="0" diagonalDown="0">
        <left/>
        <right style="thin">
          <color indexed="64"/>
        </right>
        <top/>
        <bottom/>
      </border>
      <protection locked="1" hidden="1"/>
    </dxf>
    <dxf>
      <border outline="0">
        <left style="thin">
          <color indexed="64"/>
        </left>
        <right style="thin">
          <color indexed="64"/>
        </right>
        <top style="thin">
          <color indexed="64"/>
        </top>
        <bottom style="thin">
          <color indexed="64"/>
        </bottom>
      </border>
    </dxf>
    <dxf>
      <font>
        <strike val="0"/>
        <outline val="0"/>
        <shadow val="0"/>
        <u val="none"/>
        <vertAlign val="baseline"/>
        <sz val="9"/>
        <name val="Calibri"/>
        <family val="2"/>
        <scheme val="minor"/>
      </font>
      <protection locked="1" hidden="1"/>
    </dxf>
    <dxf>
      <font>
        <strike val="0"/>
        <outline val="0"/>
        <shadow val="0"/>
        <u val="none"/>
        <vertAlign val="baseline"/>
        <sz val="9"/>
        <name val="Calibri"/>
        <family val="2"/>
        <scheme val="minor"/>
      </font>
      <protection locked="1" hidden="1"/>
    </dxf>
    <dxf>
      <font>
        <strike val="0"/>
        <outline val="0"/>
        <shadow val="0"/>
        <u val="none"/>
        <vertAlign val="baseline"/>
        <sz val="9"/>
        <name val="Calibri"/>
        <family val="2"/>
        <scheme val="minor"/>
      </font>
      <border diagonalUp="0" diagonalDown="0" outline="0">
        <left/>
        <right style="medium">
          <color indexed="64"/>
        </right>
        <top style="hair">
          <color indexed="64"/>
        </top>
        <bottom style="hair">
          <color indexed="64"/>
        </bottom>
      </border>
    </dxf>
    <dxf>
      <font>
        <strike val="0"/>
        <outline val="0"/>
        <shadow val="0"/>
        <u val="none"/>
        <vertAlign val="baseline"/>
        <sz val="9"/>
        <name val="Calibri"/>
        <family val="2"/>
        <scheme val="minor"/>
      </font>
      <border diagonalUp="0" diagonalDown="0" outline="0">
        <left/>
        <right/>
        <top style="hair">
          <color indexed="64"/>
        </top>
        <bottom style="hair">
          <color indexed="64"/>
        </bottom>
      </border>
    </dxf>
    <dxf>
      <font>
        <strike val="0"/>
        <outline val="0"/>
        <shadow val="0"/>
        <u val="none"/>
        <vertAlign val="baseline"/>
        <sz val="9"/>
        <name val="Calibri"/>
        <family val="2"/>
        <scheme val="minor"/>
      </font>
      <border diagonalUp="0" diagonalDown="0" outline="0">
        <left/>
        <right/>
        <top style="hair">
          <color indexed="64"/>
        </top>
        <bottom style="hair">
          <color indexed="64"/>
        </bottom>
      </border>
    </dxf>
    <dxf>
      <font>
        <strike val="0"/>
        <outline val="0"/>
        <shadow val="0"/>
        <u val="none"/>
        <vertAlign val="baseline"/>
        <sz val="9"/>
        <name val="Calibri"/>
        <family val="2"/>
        <scheme val="minor"/>
      </font>
      <border diagonalUp="0" diagonalDown="0" outline="0">
        <left/>
        <right/>
        <top style="hair">
          <color indexed="64"/>
        </top>
        <bottom style="hair">
          <color indexed="64"/>
        </bottom>
      </border>
    </dxf>
    <dxf>
      <font>
        <strike val="0"/>
        <outline val="0"/>
        <shadow val="0"/>
        <u val="none"/>
        <vertAlign val="baseline"/>
        <sz val="9"/>
        <name val="Calibri"/>
        <family val="2"/>
        <scheme val="minor"/>
      </font>
      <border diagonalUp="0" diagonalDown="0" outline="0">
        <left/>
        <right/>
        <top style="hair">
          <color indexed="64"/>
        </top>
        <bottom style="hair">
          <color indexed="64"/>
        </bottom>
      </border>
    </dxf>
    <dxf>
      <font>
        <strike val="0"/>
        <outline val="0"/>
        <shadow val="0"/>
        <u val="none"/>
        <vertAlign val="baseline"/>
        <sz val="9"/>
        <name val="Calibri"/>
        <family val="2"/>
        <scheme val="minor"/>
      </font>
      <border diagonalUp="0" diagonalDown="0" outline="0">
        <left style="medium">
          <color indexed="64"/>
        </left>
        <right/>
        <top style="hair">
          <color indexed="64"/>
        </top>
        <bottom style="hair">
          <color indexed="64"/>
        </bottom>
      </border>
    </dxf>
    <dxf>
      <font>
        <strike val="0"/>
        <outline val="0"/>
        <shadow val="0"/>
        <u val="none"/>
        <vertAlign val="baseline"/>
        <sz val="9"/>
        <name val="Calibri"/>
        <family val="2"/>
        <scheme val="minor"/>
      </font>
    </dxf>
    <dxf>
      <border>
        <bottom style="medium">
          <color indexed="64"/>
        </bottom>
      </border>
    </dxf>
    <dxf>
      <font>
        <b/>
        <strike val="0"/>
        <outline val="0"/>
        <shadow val="0"/>
        <u val="none"/>
        <vertAlign val="baseline"/>
        <sz val="9"/>
        <color theme="0"/>
        <name val="Calibri"/>
        <family val="2"/>
        <scheme val="minor"/>
      </font>
      <fill>
        <patternFill patternType="solid">
          <fgColor indexed="64"/>
          <bgColor theme="4" tint="0.39997558519241921"/>
        </patternFill>
      </fill>
      <border diagonalUp="0" diagonalDown="0" outline="0">
        <left style="thin">
          <color indexed="64"/>
        </left>
        <right style="thin">
          <color indexed="64"/>
        </right>
        <top/>
        <bottom/>
      </border>
    </dxf>
    <dxf>
      <border>
        <horizontal style="hair">
          <color auto="1"/>
        </horizontal>
      </border>
    </dxf>
  </dxfs>
  <tableStyles count="1" defaultTableStyle="TableStyleMedium2" defaultPivotStyle="PivotStyleLight16">
    <tableStyle name="Tabelstijl 1" pivot="0" count="1" xr9:uid="{F141E2B0-BE6B-4E64-8A40-607668E0A782}">
      <tableStyleElement type="wholeTable" dxfId="92"/>
    </tableStyle>
  </tableStyles>
  <colors>
    <mruColors>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20BDC%20Software\COPPA\Coppa\GGD%20SMO\Bijlage%20A%20Calculatiemodel%20GGD%20HN%20-%20kop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catieoverzicht"/>
      <sheetName val="Inventarisatie"/>
      <sheetName val="Ruimtestaat"/>
      <sheetName val="Uurtarieven"/>
      <sheetName val="Schoonmaaknormen"/>
      <sheetName val="berekening dagen"/>
      <sheetName val="Toeslagenmatrix-tarieven"/>
      <sheetName val="Kostenblad schoonmaak"/>
      <sheetName val="Staffelprijzen"/>
      <sheetName val="Glazenwassen"/>
      <sheetName val="Inschrijfbiljet"/>
      <sheetName val="Basisprogramma"/>
      <sheetName val="Boxenruimte"/>
      <sheetName val="Kantoorruimte"/>
      <sheetName val="Representatieve ruimte"/>
      <sheetName val="Restauratieve ruimte"/>
      <sheetName val="Sanitaire ruimte"/>
      <sheetName val="Verkeersruimte"/>
      <sheetName val="Boxenruimte (7)"/>
      <sheetName val="Bijlage A Calculatiemodel GGD 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sheetData sheetId="14"/>
      <sheetData sheetId="15" refreshError="1"/>
      <sheetData sheetId="16" refreshError="1"/>
      <sheetData sheetId="17" refreshError="1"/>
      <sheetData sheetId="18" refreshError="1"/>
      <sheetData sheetId="1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80830CF-6B0E-48AC-8458-7B18E69F5419}" name="Tabel2" displayName="Tabel2" ref="B2:G36" totalsRowShown="0" headerRowDxfId="91" dataDxfId="89" headerRowBorderDxfId="90">
  <autoFilter ref="B2:G36" xr:uid="{680830CF-6B0E-48AC-8458-7B18E69F5419}">
    <filterColumn colId="0" hiddenButton="1"/>
    <filterColumn colId="1" hiddenButton="1"/>
    <filterColumn colId="2" hiddenButton="1"/>
    <filterColumn colId="3" hiddenButton="1"/>
    <filterColumn colId="4" hiddenButton="1"/>
    <filterColumn colId="5" hiddenButton="1"/>
  </autoFilter>
  <tableColumns count="6">
    <tableColumn id="1" xr3:uid="{668E588E-140A-43B1-9AC5-31350FD3C1B3}" name="Locatiecode" dataDxfId="88"/>
    <tableColumn id="2" xr3:uid="{F9F2EB90-C43E-410E-AAAF-F17D34E0D257}" name="Straatnaam" dataDxfId="87"/>
    <tableColumn id="3" xr3:uid="{28DB8FC4-B035-4D25-B1C3-685440D36628}" name="Postcode" dataDxfId="86"/>
    <tableColumn id="4" xr3:uid="{984B60BE-7F33-4226-A9ED-A450759E47B4}" name="Plaats" dataDxfId="85"/>
    <tableColumn id="5" xr3:uid="{23AF5524-6C5D-436F-9071-066C6BA034B2}" name="Type locatie" dataDxfId="84"/>
    <tableColumn id="6" xr3:uid="{1469CA90-79DA-44F0-94C9-ACB5CD67216D}" name="Basisfrequentie" dataDxfId="83"/>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6AEC16-E152-4A8B-9FFA-AEBFB975AC47}" name="Inventarisatie" displayName="Inventarisatie" ref="A1:K554" totalsRowShown="0" headerRowDxfId="82" dataDxfId="81" tableBorderDxfId="80">
  <autoFilter ref="A1:K554" xr:uid="{66BA491A-68A6-406F-A6EF-37AFF27C84EC}"/>
  <tableColumns count="11">
    <tableColumn id="1" xr3:uid="{8E5DA5D9-73B2-4289-8587-D369D7D8521E}" name="Locatie" dataDxfId="79" totalsRowDxfId="78"/>
    <tableColumn id="2" xr3:uid="{A0CF4DA2-D919-4E45-A134-84B7197CB30E}" name="Bouwdeel" dataDxfId="77" totalsRowDxfId="76"/>
    <tableColumn id="3" xr3:uid="{4F684C46-E9CE-40D5-8F42-40B9C4C71A07}" name="Ruimtenr." dataDxfId="75" totalsRowDxfId="74"/>
    <tableColumn id="4" xr3:uid="{15121BC1-BCA8-4AC7-92DB-6E7CC6493AAE}" name="Categorie" dataDxfId="73" totalsRowDxfId="72"/>
    <tableColumn id="5" xr3:uid="{1A9DFB03-41A3-42D1-8DB2-DC70E63C780D}" name="Ruimteomschrijving" dataDxfId="71" totalsRowDxfId="70"/>
    <tableColumn id="6" xr3:uid="{BB10923B-F2EE-4160-9F83-689FCB083B07}" name="Vloersoort" dataDxfId="69" totalsRowDxfId="68"/>
    <tableColumn id="7" xr3:uid="{C43A21A2-C9F1-4FD8-9F4C-5DDF1D2FA949}" name="Oppervlakte" dataDxfId="67" totalsRowDxfId="66" dataCellStyle="Komma"/>
    <tableColumn id="8" xr3:uid="{C33D40F6-4282-4569-ADD3-F63C06162BB5}" name="Freq. Ma-Vr" dataDxfId="65" totalsRowDxfId="64"/>
    <tableColumn id="9" xr3:uid="{DADE14EC-4310-4306-90FF-E48B6F3E7481}" name="Freq. Za" dataDxfId="63">
      <calculatedColumnFormula>IF(Inventarisatie[[#This Row],[Freq. Ma-Vr]]=0,0,IF(ISNUMBER(SEARCH("/",_xlfn.XLOOKUP(Inventarisatie[[#This Row],[Locatie]],Tabel2[Locatiecode],Tabel2[Basisfrequentie],0,0))),VLOOKUP("za",WkDagen[],YEAR(NOW())-2020,FALSE),""))</calculatedColumnFormula>
    </tableColumn>
    <tableColumn id="10" xr3:uid="{79F2BF09-2F46-4FF5-9778-8A5A7BC6F499}" name="Freq. Zo" dataDxfId="62">
      <calculatedColumnFormula>IF(Inventarisatie[[#This Row],[Freq. Ma-Vr]]=0,0,IF(ISNUMBER(SEARCH("/",_xlfn.XLOOKUP(Inventarisatie[[#This Row],[Locatie]],Tabel2[Locatiecode],Tabel2[Basisfrequentie],0,0))),IF(_xlfn.XLOOKUP(Inventarisatie[[#This Row],[Locatie]],Tabel2[Locatiecode],Tabel2[Basisfrequentie],0,0)&lt;&gt;Locatieoverzicht!$F$45,VLOOKUP("zo",WkDagen[],YEAR(NOW())-2020,FALSE),""),""))</calculatedColumnFormula>
    </tableColumn>
    <tableColumn id="11" xr3:uid="{5684AC9A-0811-4D3C-BAA5-AB143FDD6E81}" name="Freq. Fe" dataDxfId="61">
      <calculatedColumnFormula>IF(Inventarisatie[[#This Row],[Freq. Ma-Vr]]=0,0,IF(_xlfn.XLOOKUP(Inventarisatie[[#This Row],[Locatie]],Tabel2[Locatiecode],Tabel2[Basisfrequentie],0,0)=Locatieoverzicht!$F$47,VLOOKUP("fe",WkDagen[],YEAR(NOW())-2020,FALSE),""))</calculatedColumnFormula>
    </tableColumn>
  </tableColumns>
  <tableStyleInfo name="Tabelstijl 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0964696-4C2A-4AC0-9C6B-7785A5800931}" name="WkDagen" displayName="WkDagen" ref="A2:T13" totalsRowShown="0" tableBorderDxfId="60">
  <autoFilter ref="A2:T13" xr:uid="{60964696-4C2A-4AC0-9C6B-7785A580093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AA5D513A-1605-412F-87B1-3E9DAC9150A7}" name="Dagen" dataDxfId="59"/>
    <tableColumn id="2" xr3:uid="{2AF70CCC-9664-49FE-9986-73F2DA12C86F}" name="2022" dataDxfId="58"/>
    <tableColumn id="3" xr3:uid="{267E1B8D-567C-4842-91F2-91F1D03023B7}" name="2023" dataDxfId="57"/>
    <tableColumn id="4" xr3:uid="{B57F0A7D-65D4-4AE8-BC2F-A7FA5F37A3A9}" name="2024" dataDxfId="56"/>
    <tableColumn id="5" xr3:uid="{4F425227-3D31-462A-9FD3-C27191A83BA7}" name="2025" dataDxfId="55"/>
    <tableColumn id="6" xr3:uid="{2C95248D-C7F7-4670-809E-2DCF763BE91C}" name="2026" dataDxfId="54"/>
    <tableColumn id="7" xr3:uid="{BCCF0CD0-1508-4943-AA5A-D2D2EE9B62CA}" name="2027" dataDxfId="53"/>
    <tableColumn id="8" xr3:uid="{7790A936-9AB9-4F4B-B504-4E22C3CE7F23}" name="2028" dataDxfId="52"/>
    <tableColumn id="9" xr3:uid="{9DE6C0CB-1BA2-4042-9BA0-6C38F1306E12}" name="2029" dataDxfId="51"/>
    <tableColumn id="10" xr3:uid="{7A59C0C9-370E-407A-A948-1A9609A54897}" name="2030" dataDxfId="50"/>
    <tableColumn id="11" xr3:uid="{D54E589F-8FA9-453B-BAEB-8BD276B5FA6C}" name="2031" dataDxfId="49"/>
    <tableColumn id="12" xr3:uid="{8DBC767B-8787-47D5-949E-A920FA12FA8D}" name="2032" dataDxfId="48"/>
    <tableColumn id="13" xr3:uid="{A38A9F5E-A1F6-442F-953E-E74485A36B42}" name="2033" dataDxfId="47"/>
    <tableColumn id="14" xr3:uid="{D3F564E7-3A60-4E21-8A55-AA66DBB7C41C}" name="2034" dataDxfId="46"/>
    <tableColumn id="15" xr3:uid="{F925746C-EA8E-4898-B009-30B8DD943EC3}" name="2035" dataDxfId="45"/>
    <tableColumn id="16" xr3:uid="{04091056-55C2-4448-805B-CBDA6D5F9546}" name="2036" dataDxfId="44"/>
    <tableColumn id="17" xr3:uid="{82CA6B9F-A057-419C-AE7C-8577D270C6EC}" name="2037" dataDxfId="43"/>
    <tableColumn id="18" xr3:uid="{059F798A-34C6-45A3-826C-7E363570D10C}" name="2038" dataDxfId="42"/>
    <tableColumn id="19" xr3:uid="{C56B7CFE-6405-4D3F-8680-B47576D603E9}" name="2039" dataDxfId="41"/>
    <tableColumn id="20" xr3:uid="{57A182A5-BE7F-4E45-84E1-CD040D5CAF69}" name="2040" dataDxfId="40"/>
  </tableColumns>
  <tableStyleInfo name="Tabelstijl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729E4E2-1E01-444D-9984-4F917583F2DD}" name="BasisProgramma" displayName="BasisProgramma" ref="B3:I107" totalsRowShown="0" headerRowDxfId="39" dataDxfId="37" headerRowBorderDxfId="38" tableBorderDxfId="36" headerRowCellStyle="Standaard_Bijlage 2 Werkprogramma's" dataCellStyle="Standaard_Bijlage 2 Werkprogramma's">
  <autoFilter ref="B3:I107" xr:uid="{5729E4E2-1E01-444D-9984-4F917583F2D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04610B2-0546-477F-B358-B546F83B7876}" name="Element" dataDxfId="35" dataCellStyle="Standaard_Bijlage 2 Werkprogramma's"/>
    <tableColumn id="2" xr3:uid="{EF051A61-A67A-46A3-B120-D83982698217}" name="Handeling" dataDxfId="34" dataCellStyle="Standaard_Bijlage 2 Werkprogramma's"/>
    <tableColumn id="3" xr3:uid="{78185643-9061-41CC-AE81-EF46010DCDD2}" name="255" dataDxfId="33" dataCellStyle="Standaard_Bijlage 2 Werkprogramma's"/>
    <tableColumn id="4" xr3:uid="{68F60DD2-68F9-4EA6-AAC0-049A36E5B62C}" name="204" dataDxfId="32" dataCellStyle="Standaard_Bijlage 2 Werkprogramma's"/>
    <tableColumn id="5" xr3:uid="{32B0F6E7-5CE4-4975-8EDA-B716FA79D183}" name="156" dataDxfId="31" dataCellStyle="Standaard_Bijlage 2 Werkprogramma's"/>
    <tableColumn id="6" xr3:uid="{F8576F0C-F58A-4C55-812E-DCB77FDCACCC}" name="104" dataDxfId="30" dataCellStyle="Standaard_Bijlage 2 Werkprogramma's"/>
    <tableColumn id="7" xr3:uid="{7D4DC305-3263-470D-961B-D027F8B80CA4}" name="52" dataDxfId="29" dataCellStyle="Standaard_Bijlage 2 Werkprogramma's"/>
    <tableColumn id="8" xr3:uid="{972D9D16-994B-46C6-981B-0608A72C9E19}" name="4" dataDxfId="28" dataCellStyle="Standaard_Bijlage 2 Werkprogramma's"/>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5DAF6-62B5-4A19-AF67-17D2207CCE1D}">
  <sheetPr codeName="Blad1">
    <pageSetUpPr fitToPage="1"/>
  </sheetPr>
  <dimension ref="B1:BF47"/>
  <sheetViews>
    <sheetView showGridLines="0" showRowColHeaders="0" zoomScaleNormal="100" workbookViewId="0">
      <selection activeCell="G42" sqref="G42"/>
    </sheetView>
  </sheetViews>
  <sheetFormatPr defaultColWidth="8.85546875" defaultRowHeight="12" x14ac:dyDescent="0.2"/>
  <cols>
    <col min="1" max="1" width="4.85546875" style="7" customWidth="1"/>
    <col min="2" max="2" width="14" style="7" bestFit="1" customWidth="1"/>
    <col min="3" max="3" width="22.42578125" style="7" bestFit="1" customWidth="1"/>
    <col min="4" max="4" width="11.28515625" style="7" customWidth="1"/>
    <col min="5" max="5" width="16.28515625" style="7" bestFit="1" customWidth="1"/>
    <col min="6" max="6" width="26.85546875" style="7" bestFit="1" customWidth="1"/>
    <col min="7" max="7" width="17.140625" style="7" customWidth="1"/>
    <col min="8" max="51" width="8.85546875" style="7"/>
    <col min="52" max="52" width="10.42578125" style="7" bestFit="1" customWidth="1"/>
    <col min="53" max="53" width="8.85546875" style="7"/>
    <col min="54" max="54" width="10.42578125" style="7" bestFit="1" customWidth="1"/>
    <col min="55" max="55" width="8.85546875" style="7"/>
    <col min="56" max="56" width="12.42578125" style="7" bestFit="1" customWidth="1"/>
    <col min="57" max="16384" width="8.85546875" style="7"/>
  </cols>
  <sheetData>
    <row r="1" spans="2:58" ht="12.75" thickBot="1" x14ac:dyDescent="0.25">
      <c r="AZ1" s="7" t="str" cm="1">
        <f t="array" ref="AZ1:AZ7">_xlfn.SORTBY(BB1:BB7,BD1:BD7)</f>
        <v>Boxenruimte</v>
      </c>
      <c r="BB1" s="7" t="str" cm="1">
        <f t="array" ref="BB1:BB7">_xlfn.UNIQUE(Inventarisatie[Categorie])</f>
        <v>Representatief</v>
      </c>
      <c r="BD1" s="7" cm="1">
        <f t="array" ref="BD1:BD7">_xlfn.XLOOKUP(_xlfn.ANCHORARRAY(BB1),BE1:BE7,BF1:BF7,"")</f>
        <v>3</v>
      </c>
      <c r="BE1" s="7" t="s">
        <v>24</v>
      </c>
      <c r="BF1" s="7">
        <v>1</v>
      </c>
    </row>
    <row r="2" spans="2:58" ht="12.75" thickBot="1" x14ac:dyDescent="0.25">
      <c r="B2" s="48" t="s">
        <v>324</v>
      </c>
      <c r="C2" s="49" t="s">
        <v>325</v>
      </c>
      <c r="D2" s="49" t="s">
        <v>326</v>
      </c>
      <c r="E2" s="49" t="s">
        <v>327</v>
      </c>
      <c r="F2" s="49" t="s">
        <v>328</v>
      </c>
      <c r="G2" s="50" t="s">
        <v>502</v>
      </c>
      <c r="AZ2" s="7" t="str">
        <v>Kantoorruimte</v>
      </c>
      <c r="BB2" s="7" t="str">
        <v>Restauratief</v>
      </c>
      <c r="BD2" s="7">
        <v>4</v>
      </c>
      <c r="BE2" s="7" t="s">
        <v>307</v>
      </c>
      <c r="BF2" s="7">
        <v>2</v>
      </c>
    </row>
    <row r="3" spans="2:58" x14ac:dyDescent="0.2">
      <c r="B3" s="51" t="s">
        <v>3</v>
      </c>
      <c r="C3" s="52" t="s">
        <v>183</v>
      </c>
      <c r="D3" s="52" t="s">
        <v>184</v>
      </c>
      <c r="E3" s="52" t="s">
        <v>182</v>
      </c>
      <c r="F3" s="52" t="s">
        <v>333</v>
      </c>
      <c r="G3" s="53">
        <v>255</v>
      </c>
      <c r="AZ3" s="7" t="str">
        <v>Representatief</v>
      </c>
      <c r="BB3" s="7" t="str">
        <v>Verkeersruimte</v>
      </c>
      <c r="BD3" s="7">
        <v>6</v>
      </c>
      <c r="BE3" s="7" t="s">
        <v>310</v>
      </c>
      <c r="BF3" s="7">
        <v>3</v>
      </c>
    </row>
    <row r="4" spans="2:58" x14ac:dyDescent="0.2">
      <c r="B4" s="54" t="s">
        <v>32</v>
      </c>
      <c r="C4" s="55" t="s">
        <v>185</v>
      </c>
      <c r="D4" s="55" t="s">
        <v>186</v>
      </c>
      <c r="E4" s="55" t="s">
        <v>182</v>
      </c>
      <c r="F4" s="55" t="s">
        <v>334</v>
      </c>
      <c r="G4" s="56">
        <v>204</v>
      </c>
      <c r="AZ4" s="7" t="str">
        <v>Restauratief</v>
      </c>
      <c r="BB4" s="7" t="str">
        <v>Sanitaire ruimte</v>
      </c>
      <c r="BD4" s="7">
        <v>5</v>
      </c>
      <c r="BE4" s="7" t="s">
        <v>308</v>
      </c>
      <c r="BF4" s="7">
        <v>4</v>
      </c>
    </row>
    <row r="5" spans="2:58" x14ac:dyDescent="0.2">
      <c r="B5" s="342" t="s">
        <v>256</v>
      </c>
      <c r="C5" s="55" t="s">
        <v>187</v>
      </c>
      <c r="D5" s="55" t="s">
        <v>188</v>
      </c>
      <c r="E5" s="55" t="s">
        <v>182</v>
      </c>
      <c r="F5" s="55" t="s">
        <v>340</v>
      </c>
      <c r="G5" s="56">
        <v>255</v>
      </c>
      <c r="AZ5" s="7" t="str">
        <v>Sanitaire ruimte</v>
      </c>
      <c r="BB5" s="7" t="str">
        <v>Boxenruimte</v>
      </c>
      <c r="BD5" s="7">
        <v>1</v>
      </c>
      <c r="BE5" s="7" t="s">
        <v>311</v>
      </c>
      <c r="BF5" s="7">
        <v>5</v>
      </c>
    </row>
    <row r="6" spans="2:58" x14ac:dyDescent="0.2">
      <c r="B6" s="342" t="s">
        <v>36</v>
      </c>
      <c r="C6" s="55" t="s">
        <v>189</v>
      </c>
      <c r="D6" s="55" t="s">
        <v>188</v>
      </c>
      <c r="E6" s="55" t="s">
        <v>182</v>
      </c>
      <c r="F6" s="55" t="s">
        <v>335</v>
      </c>
      <c r="G6" s="56">
        <v>255</v>
      </c>
      <c r="AZ6" s="7" t="str">
        <v>Verkeersruimte</v>
      </c>
      <c r="BB6" s="7" t="str">
        <v>Kantoorruimte</v>
      </c>
      <c r="BD6" s="7">
        <v>2</v>
      </c>
      <c r="BE6" s="7" t="s">
        <v>312</v>
      </c>
      <c r="BF6" s="7">
        <v>6</v>
      </c>
    </row>
    <row r="7" spans="2:58" x14ac:dyDescent="0.2">
      <c r="B7" s="342" t="s">
        <v>61</v>
      </c>
      <c r="C7" s="55" t="s">
        <v>190</v>
      </c>
      <c r="D7" s="55" t="s">
        <v>191</v>
      </c>
      <c r="E7" s="55" t="s">
        <v>182</v>
      </c>
      <c r="F7" s="55" t="s">
        <v>333</v>
      </c>
      <c r="G7" s="56">
        <v>255</v>
      </c>
      <c r="AZ7" s="7">
        <v>0</v>
      </c>
      <c r="BB7" s="7">
        <v>0</v>
      </c>
      <c r="BD7" s="7" t="str">
        <v/>
      </c>
      <c r="BF7" s="7">
        <v>7</v>
      </c>
    </row>
    <row r="8" spans="2:58" x14ac:dyDescent="0.2">
      <c r="B8" s="54" t="s">
        <v>93</v>
      </c>
      <c r="C8" s="55" t="s">
        <v>192</v>
      </c>
      <c r="D8" s="55" t="s">
        <v>193</v>
      </c>
      <c r="E8" s="55" t="s">
        <v>182</v>
      </c>
      <c r="F8" s="55" t="s">
        <v>333</v>
      </c>
      <c r="G8" s="56">
        <v>255</v>
      </c>
    </row>
    <row r="9" spans="2:58" x14ac:dyDescent="0.2">
      <c r="B9" s="54" t="s">
        <v>98</v>
      </c>
      <c r="C9" s="55" t="s">
        <v>194</v>
      </c>
      <c r="D9" s="55" t="s">
        <v>195</v>
      </c>
      <c r="E9" s="55" t="s">
        <v>182</v>
      </c>
      <c r="F9" s="55" t="s">
        <v>336</v>
      </c>
      <c r="G9" s="56">
        <v>255</v>
      </c>
    </row>
    <row r="10" spans="2:58" x14ac:dyDescent="0.2">
      <c r="B10" s="54" t="s">
        <v>99</v>
      </c>
      <c r="C10" s="55" t="s">
        <v>196</v>
      </c>
      <c r="D10" s="55" t="s">
        <v>197</v>
      </c>
      <c r="E10" s="55" t="s">
        <v>198</v>
      </c>
      <c r="F10" s="55" t="s">
        <v>333</v>
      </c>
      <c r="G10" s="56">
        <v>255</v>
      </c>
    </row>
    <row r="11" spans="2:58" x14ac:dyDescent="0.2">
      <c r="B11" s="54" t="s">
        <v>107</v>
      </c>
      <c r="C11" s="55" t="s">
        <v>199</v>
      </c>
      <c r="D11" s="55" t="s">
        <v>200</v>
      </c>
      <c r="E11" s="55" t="s">
        <v>201</v>
      </c>
      <c r="F11" s="55" t="s">
        <v>333</v>
      </c>
      <c r="G11" s="56">
        <v>255</v>
      </c>
    </row>
    <row r="12" spans="2:58" x14ac:dyDescent="0.2">
      <c r="B12" s="54" t="s">
        <v>108</v>
      </c>
      <c r="C12" s="55" t="s">
        <v>202</v>
      </c>
      <c r="D12" s="55" t="s">
        <v>203</v>
      </c>
      <c r="E12" s="55" t="s">
        <v>204</v>
      </c>
      <c r="F12" s="55" t="s">
        <v>333</v>
      </c>
      <c r="G12" s="56">
        <v>255</v>
      </c>
    </row>
    <row r="13" spans="2:58" x14ac:dyDescent="0.2">
      <c r="B13" s="54" t="s">
        <v>113</v>
      </c>
      <c r="C13" s="55" t="s">
        <v>338</v>
      </c>
      <c r="D13" s="55" t="s">
        <v>205</v>
      </c>
      <c r="E13" s="55" t="s">
        <v>206</v>
      </c>
      <c r="F13" s="57" t="s">
        <v>337</v>
      </c>
      <c r="G13" s="56">
        <v>255</v>
      </c>
    </row>
    <row r="14" spans="2:58" x14ac:dyDescent="0.2">
      <c r="B14" s="54" t="s">
        <v>128</v>
      </c>
      <c r="C14" s="55" t="s">
        <v>207</v>
      </c>
      <c r="D14" s="55" t="s">
        <v>208</v>
      </c>
      <c r="E14" s="55" t="s">
        <v>206</v>
      </c>
      <c r="F14" s="55" t="s">
        <v>333</v>
      </c>
      <c r="G14" s="56">
        <v>255</v>
      </c>
    </row>
    <row r="15" spans="2:58" x14ac:dyDescent="0.2">
      <c r="B15" s="54" t="s">
        <v>129</v>
      </c>
      <c r="C15" s="55" t="s">
        <v>209</v>
      </c>
      <c r="D15" s="55" t="s">
        <v>210</v>
      </c>
      <c r="E15" s="55" t="s">
        <v>211</v>
      </c>
      <c r="F15" s="55" t="s">
        <v>333</v>
      </c>
      <c r="G15" s="56">
        <v>255</v>
      </c>
    </row>
    <row r="16" spans="2:58" x14ac:dyDescent="0.2">
      <c r="B16" s="54" t="s">
        <v>134</v>
      </c>
      <c r="C16" s="55" t="s">
        <v>212</v>
      </c>
      <c r="D16" s="55" t="s">
        <v>213</v>
      </c>
      <c r="E16" s="55" t="s">
        <v>214</v>
      </c>
      <c r="F16" s="55" t="s">
        <v>333</v>
      </c>
      <c r="G16" s="56">
        <v>255</v>
      </c>
    </row>
    <row r="17" spans="2:7" x14ac:dyDescent="0.2">
      <c r="B17" s="54" t="s">
        <v>135</v>
      </c>
      <c r="C17" s="55" t="s">
        <v>215</v>
      </c>
      <c r="D17" s="55" t="s">
        <v>216</v>
      </c>
      <c r="E17" s="55" t="s">
        <v>217</v>
      </c>
      <c r="F17" s="55" t="s">
        <v>333</v>
      </c>
      <c r="G17" s="56">
        <v>255</v>
      </c>
    </row>
    <row r="18" spans="2:7" x14ac:dyDescent="0.2">
      <c r="B18" s="54" t="s">
        <v>141</v>
      </c>
      <c r="C18" s="55" t="s">
        <v>218</v>
      </c>
      <c r="D18" s="55" t="s">
        <v>219</v>
      </c>
      <c r="E18" s="55" t="s">
        <v>220</v>
      </c>
      <c r="F18" s="55" t="s">
        <v>333</v>
      </c>
      <c r="G18" s="56">
        <v>255</v>
      </c>
    </row>
    <row r="19" spans="2:7" x14ac:dyDescent="0.2">
      <c r="B19" s="54" t="s">
        <v>142</v>
      </c>
      <c r="C19" s="55" t="s">
        <v>221</v>
      </c>
      <c r="D19" s="55" t="s">
        <v>222</v>
      </c>
      <c r="E19" s="55" t="s">
        <v>223</v>
      </c>
      <c r="F19" s="55" t="s">
        <v>333</v>
      </c>
      <c r="G19" s="56">
        <v>255</v>
      </c>
    </row>
    <row r="20" spans="2:7" x14ac:dyDescent="0.2">
      <c r="B20" s="342" t="s">
        <v>147</v>
      </c>
      <c r="C20" s="55" t="s">
        <v>224</v>
      </c>
      <c r="D20" s="55" t="s">
        <v>225</v>
      </c>
      <c r="E20" s="55" t="s">
        <v>226</v>
      </c>
      <c r="F20" s="55" t="s">
        <v>339</v>
      </c>
      <c r="G20" s="56">
        <v>255</v>
      </c>
    </row>
    <row r="21" spans="2:7" x14ac:dyDescent="0.2">
      <c r="B21" s="54" t="s">
        <v>159</v>
      </c>
      <c r="C21" s="55" t="s">
        <v>227</v>
      </c>
      <c r="D21" s="55" t="s">
        <v>228</v>
      </c>
      <c r="E21" s="55" t="s">
        <v>229</v>
      </c>
      <c r="F21" s="55" t="s">
        <v>333</v>
      </c>
      <c r="G21" s="56">
        <v>255</v>
      </c>
    </row>
    <row r="22" spans="2:7" x14ac:dyDescent="0.2">
      <c r="B22" s="54" t="s">
        <v>160</v>
      </c>
      <c r="C22" s="55" t="s">
        <v>230</v>
      </c>
      <c r="D22" s="55" t="s">
        <v>231</v>
      </c>
      <c r="E22" s="55" t="s">
        <v>232</v>
      </c>
      <c r="F22" s="55" t="s">
        <v>333</v>
      </c>
      <c r="G22" s="56">
        <v>255</v>
      </c>
    </row>
    <row r="23" spans="2:7" x14ac:dyDescent="0.2">
      <c r="B23" s="54" t="s">
        <v>161</v>
      </c>
      <c r="C23" s="55" t="s">
        <v>233</v>
      </c>
      <c r="D23" s="55" t="s">
        <v>234</v>
      </c>
      <c r="E23" s="55" t="s">
        <v>235</v>
      </c>
      <c r="F23" s="55" t="s">
        <v>333</v>
      </c>
      <c r="G23" s="56">
        <v>255</v>
      </c>
    </row>
    <row r="24" spans="2:7" x14ac:dyDescent="0.2">
      <c r="B24" s="54" t="s">
        <v>257</v>
      </c>
      <c r="C24" s="55" t="s">
        <v>258</v>
      </c>
      <c r="D24" s="55" t="s">
        <v>259</v>
      </c>
      <c r="E24" s="55" t="s">
        <v>260</v>
      </c>
      <c r="F24" s="55" t="s">
        <v>333</v>
      </c>
      <c r="G24" s="56">
        <v>255</v>
      </c>
    </row>
    <row r="25" spans="2:7" x14ac:dyDescent="0.2">
      <c r="B25" s="54" t="s">
        <v>167</v>
      </c>
      <c r="C25" s="55" t="s">
        <v>236</v>
      </c>
      <c r="D25" s="55" t="s">
        <v>237</v>
      </c>
      <c r="E25" s="55" t="s">
        <v>238</v>
      </c>
      <c r="F25" s="55" t="s">
        <v>333</v>
      </c>
      <c r="G25" s="56">
        <v>255</v>
      </c>
    </row>
    <row r="26" spans="2:7" x14ac:dyDescent="0.2">
      <c r="B26" s="54" t="s">
        <v>170</v>
      </c>
      <c r="C26" s="55" t="s">
        <v>239</v>
      </c>
      <c r="D26" s="55" t="s">
        <v>240</v>
      </c>
      <c r="E26" s="55" t="s">
        <v>241</v>
      </c>
      <c r="F26" s="55" t="s">
        <v>333</v>
      </c>
      <c r="G26" s="56">
        <v>255</v>
      </c>
    </row>
    <row r="27" spans="2:7" x14ac:dyDescent="0.2">
      <c r="B27" s="54" t="s">
        <v>171</v>
      </c>
      <c r="C27" s="55" t="s">
        <v>242</v>
      </c>
      <c r="D27" s="55" t="s">
        <v>243</v>
      </c>
      <c r="E27" s="55" t="s">
        <v>244</v>
      </c>
      <c r="F27" s="55" t="s">
        <v>333</v>
      </c>
      <c r="G27" s="56">
        <v>255</v>
      </c>
    </row>
    <row r="28" spans="2:7" x14ac:dyDescent="0.2">
      <c r="B28" s="54" t="s">
        <v>178</v>
      </c>
      <c r="C28" s="55" t="s">
        <v>245</v>
      </c>
      <c r="D28" s="55" t="s">
        <v>246</v>
      </c>
      <c r="E28" s="55" t="s">
        <v>247</v>
      </c>
      <c r="F28" s="55" t="s">
        <v>333</v>
      </c>
      <c r="G28" s="56">
        <v>255</v>
      </c>
    </row>
    <row r="29" spans="2:7" x14ac:dyDescent="0.2">
      <c r="B29" s="54" t="s">
        <v>179</v>
      </c>
      <c r="C29" s="55" t="s">
        <v>248</v>
      </c>
      <c r="D29" s="55" t="s">
        <v>249</v>
      </c>
      <c r="E29" s="55" t="s">
        <v>232</v>
      </c>
      <c r="F29" s="55" t="s">
        <v>333</v>
      </c>
      <c r="G29" s="56">
        <v>255</v>
      </c>
    </row>
    <row r="30" spans="2:7" x14ac:dyDescent="0.2">
      <c r="B30" s="54" t="s">
        <v>180</v>
      </c>
      <c r="C30" s="55" t="s">
        <v>250</v>
      </c>
      <c r="D30" s="55" t="s">
        <v>251</v>
      </c>
      <c r="E30" s="55" t="s">
        <v>252</v>
      </c>
      <c r="F30" s="55" t="s">
        <v>333</v>
      </c>
      <c r="G30" s="56">
        <v>255</v>
      </c>
    </row>
    <row r="31" spans="2:7" x14ac:dyDescent="0.2">
      <c r="B31" s="54" t="s">
        <v>181</v>
      </c>
      <c r="C31" s="55" t="s">
        <v>253</v>
      </c>
      <c r="D31" s="55" t="s">
        <v>254</v>
      </c>
      <c r="E31" s="55" t="s">
        <v>255</v>
      </c>
      <c r="F31" s="55" t="s">
        <v>333</v>
      </c>
      <c r="G31" s="56">
        <v>255</v>
      </c>
    </row>
    <row r="32" spans="2:7" x14ac:dyDescent="0.2">
      <c r="B32" s="54" t="s">
        <v>261</v>
      </c>
      <c r="C32" s="55" t="s">
        <v>262</v>
      </c>
      <c r="D32" s="55" t="s">
        <v>263</v>
      </c>
      <c r="E32" s="55" t="s">
        <v>264</v>
      </c>
      <c r="F32" s="55" t="s">
        <v>333</v>
      </c>
      <c r="G32" s="56">
        <v>255</v>
      </c>
    </row>
    <row r="33" spans="2:8" x14ac:dyDescent="0.2">
      <c r="B33" s="54" t="s">
        <v>537</v>
      </c>
      <c r="C33" s="55" t="s">
        <v>539</v>
      </c>
      <c r="D33" s="55" t="s">
        <v>655</v>
      </c>
      <c r="E33" s="55" t="s">
        <v>182</v>
      </c>
      <c r="F33" s="55" t="s">
        <v>540</v>
      </c>
      <c r="G33" s="58" t="s">
        <v>596</v>
      </c>
    </row>
    <row r="34" spans="2:8" x14ac:dyDescent="0.2">
      <c r="B34" s="54" t="s">
        <v>598</v>
      </c>
      <c r="C34" s="55" t="s">
        <v>652</v>
      </c>
      <c r="D34" s="55" t="s">
        <v>656</v>
      </c>
      <c r="E34" s="55" t="s">
        <v>235</v>
      </c>
      <c r="F34" s="55" t="s">
        <v>540</v>
      </c>
      <c r="G34" s="58" t="s">
        <v>596</v>
      </c>
    </row>
    <row r="35" spans="2:8" x14ac:dyDescent="0.2">
      <c r="B35" s="342" t="s">
        <v>629</v>
      </c>
      <c r="C35" s="55" t="s">
        <v>653</v>
      </c>
      <c r="D35" s="55" t="s">
        <v>657</v>
      </c>
      <c r="E35" s="55" t="s">
        <v>654</v>
      </c>
      <c r="F35" s="55" t="s">
        <v>540</v>
      </c>
      <c r="G35" s="58" t="s">
        <v>596</v>
      </c>
    </row>
    <row r="36" spans="2:8" ht="12.75" thickBot="1" x14ac:dyDescent="0.25">
      <c r="B36" s="59" t="s">
        <v>658</v>
      </c>
      <c r="C36" s="60" t="s">
        <v>659</v>
      </c>
      <c r="D36" s="60" t="s">
        <v>660</v>
      </c>
      <c r="E36" s="60" t="s">
        <v>206</v>
      </c>
      <c r="F36" s="60" t="s">
        <v>540</v>
      </c>
      <c r="G36" s="61" t="s">
        <v>596</v>
      </c>
    </row>
    <row r="38" spans="2:8" ht="12.75" thickBot="1" x14ac:dyDescent="0.25"/>
    <row r="39" spans="2:8" x14ac:dyDescent="0.2">
      <c r="B39" s="62" t="s">
        <v>333</v>
      </c>
      <c r="C39" s="63" t="s">
        <v>350</v>
      </c>
      <c r="D39" s="63"/>
      <c r="E39" s="63"/>
      <c r="F39" s="64" t="s">
        <v>585</v>
      </c>
      <c r="G39" s="65"/>
      <c r="H39" s="66"/>
    </row>
    <row r="40" spans="2:8" x14ac:dyDescent="0.2">
      <c r="B40" s="67" t="s">
        <v>341</v>
      </c>
      <c r="C40" s="68" t="s">
        <v>342</v>
      </c>
      <c r="D40" s="68"/>
      <c r="E40" s="68"/>
      <c r="F40" s="69">
        <v>255</v>
      </c>
      <c r="G40" s="70" t="s">
        <v>586</v>
      </c>
      <c r="H40" s="71"/>
    </row>
    <row r="41" spans="2:8" x14ac:dyDescent="0.2">
      <c r="B41" s="67" t="s">
        <v>343</v>
      </c>
      <c r="C41" s="68" t="s">
        <v>344</v>
      </c>
      <c r="D41" s="68"/>
      <c r="E41" s="68"/>
      <c r="F41" s="54">
        <v>204</v>
      </c>
      <c r="G41" s="68" t="s">
        <v>587</v>
      </c>
      <c r="H41" s="72"/>
    </row>
    <row r="42" spans="2:8" x14ac:dyDescent="0.2">
      <c r="B42" s="67" t="s">
        <v>345</v>
      </c>
      <c r="C42" s="68" t="s">
        <v>347</v>
      </c>
      <c r="D42" s="68"/>
      <c r="E42" s="68"/>
      <c r="F42" s="54">
        <v>156</v>
      </c>
      <c r="G42" s="68" t="s">
        <v>588</v>
      </c>
      <c r="H42" s="72"/>
    </row>
    <row r="43" spans="2:8" x14ac:dyDescent="0.2">
      <c r="B43" s="67" t="s">
        <v>346</v>
      </c>
      <c r="C43" s="68" t="s">
        <v>349</v>
      </c>
      <c r="D43" s="68"/>
      <c r="E43" s="68"/>
      <c r="F43" s="54">
        <v>104</v>
      </c>
      <c r="G43" s="68" t="s">
        <v>589</v>
      </c>
      <c r="H43" s="72"/>
    </row>
    <row r="44" spans="2:8" x14ac:dyDescent="0.2">
      <c r="B44" s="67" t="s">
        <v>334</v>
      </c>
      <c r="C44" s="68" t="s">
        <v>348</v>
      </c>
      <c r="D44" s="68"/>
      <c r="E44" s="68"/>
      <c r="F44" s="54">
        <v>52</v>
      </c>
      <c r="G44" s="68" t="s">
        <v>590</v>
      </c>
      <c r="H44" s="72"/>
    </row>
    <row r="45" spans="2:8" ht="12.75" thickBot="1" x14ac:dyDescent="0.25">
      <c r="B45" s="73" t="s">
        <v>540</v>
      </c>
      <c r="C45" s="74" t="s">
        <v>541</v>
      </c>
      <c r="D45" s="74"/>
      <c r="E45" s="74"/>
      <c r="F45" s="75" t="s">
        <v>591</v>
      </c>
      <c r="G45" s="68" t="s">
        <v>592</v>
      </c>
      <c r="H45" s="72"/>
    </row>
    <row r="46" spans="2:8" x14ac:dyDescent="0.2">
      <c r="F46" s="75" t="s">
        <v>593</v>
      </c>
      <c r="G46" s="68" t="s">
        <v>594</v>
      </c>
      <c r="H46" s="72"/>
    </row>
    <row r="47" spans="2:8" ht="12.75" thickBot="1" x14ac:dyDescent="0.25">
      <c r="B47" s="343"/>
      <c r="C47" s="7" t="s">
        <v>687</v>
      </c>
      <c r="F47" s="76" t="s">
        <v>596</v>
      </c>
      <c r="G47" s="74" t="s">
        <v>595</v>
      </c>
      <c r="H47" s="77"/>
    </row>
  </sheetData>
  <sheetProtection algorithmName="SHA-512" hashValue="muSVdL/INCaq9vRJx/9gN+v56JGTyBSXa3vnnLf/9/0hUALql72aQZ1FkfM5JU5omYmAOKcDAAlSzsDQRN8IWw==" saltValue="IjFcMYSsBGd+3gx0Ay3eEw==" spinCount="100000" sheet="1" objects="1" scenarios="1"/>
  <sortState xmlns:xlrd2="http://schemas.microsoft.com/office/spreadsheetml/2017/richdata2" ref="B3:F32">
    <sortCondition ref="B3:B32"/>
  </sortState>
  <printOptions horizontalCentered="1" verticalCentered="1"/>
  <pageMargins left="0.70866141732283472" right="0.70866141732283472" top="0.74803149606299213" bottom="0.74803149606299213" header="0.31496062992125984" footer="0.31496062992125984"/>
  <pageSetup paperSize="9" scale="74" fitToHeight="0" orientation="portrait" r:id="rId1"/>
  <headerFooter>
    <oddHeader>&amp;L&amp;9&amp;K04-047Locatieoverzicht&amp;R&amp;G</oddHeader>
    <oddFooter>&amp;L&amp;9&amp;K04-048Offerteaanvraag EU Openbare aanbesteding Schoonmaakonderhoud&amp;C&amp;9&amp;K04-048 8 april 2022&amp;R&amp;9&amp;K04-048Blad &amp;P van &amp;N</oddFooter>
  </headerFooter>
  <legacyDrawingHF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454BA-DA5B-4DE4-B75A-626ED8579A48}">
  <sheetPr codeName="Blad9">
    <tabColor theme="7" tint="-0.499984740745262"/>
    <pageSetUpPr fitToPage="1"/>
  </sheetPr>
  <dimension ref="A1:N38"/>
  <sheetViews>
    <sheetView showGridLines="0" showRowColHeaders="0" topLeftCell="A4" zoomScaleNormal="100" workbookViewId="0">
      <selection activeCell="L34" sqref="L34"/>
    </sheetView>
  </sheetViews>
  <sheetFormatPr defaultColWidth="8.85546875" defaultRowHeight="12" x14ac:dyDescent="0.2"/>
  <cols>
    <col min="1" max="1" width="43.7109375" style="9" bestFit="1" customWidth="1"/>
    <col min="2" max="4" width="14.28515625" style="9" customWidth="1"/>
    <col min="5" max="5" width="4" style="9" customWidth="1"/>
    <col min="6" max="6" width="18.28515625" style="85" customWidth="1"/>
    <col min="7" max="11" width="14.28515625" style="9" customWidth="1"/>
    <col min="12" max="12" width="15.85546875" style="86" bestFit="1" customWidth="1"/>
    <col min="13" max="13" width="8.85546875" style="9"/>
    <col min="14" max="14" width="11.42578125" style="9" bestFit="1" customWidth="1"/>
    <col min="15" max="15" width="8.85546875" style="9"/>
    <col min="16" max="16" width="9.42578125" style="9" bestFit="1" customWidth="1"/>
    <col min="17" max="16384" width="8.85546875" style="9"/>
  </cols>
  <sheetData>
    <row r="1" spans="1:14" ht="12.75" thickBot="1" x14ac:dyDescent="0.25"/>
    <row r="2" spans="1:14" x14ac:dyDescent="0.2">
      <c r="A2" s="590" t="s">
        <v>420</v>
      </c>
      <c r="B2" s="592" t="s">
        <v>421</v>
      </c>
      <c r="C2" s="593"/>
      <c r="D2" s="593"/>
      <c r="E2" s="594"/>
      <c r="F2" s="588" t="s">
        <v>422</v>
      </c>
      <c r="G2" s="592" t="s">
        <v>423</v>
      </c>
      <c r="H2" s="593"/>
      <c r="I2" s="593"/>
      <c r="J2" s="594"/>
      <c r="K2" s="588" t="s">
        <v>424</v>
      </c>
      <c r="L2" s="588" t="s">
        <v>313</v>
      </c>
    </row>
    <row r="3" spans="1:14" ht="153" customHeight="1" thickBot="1" x14ac:dyDescent="0.25">
      <c r="A3" s="591"/>
      <c r="B3" s="87" t="s">
        <v>409</v>
      </c>
      <c r="C3" s="88" t="s">
        <v>410</v>
      </c>
      <c r="D3" s="89" t="s">
        <v>411</v>
      </c>
      <c r="E3" s="89" t="s">
        <v>717</v>
      </c>
      <c r="F3" s="589"/>
      <c r="G3" s="87" t="s">
        <v>409</v>
      </c>
      <c r="H3" s="88" t="s">
        <v>410</v>
      </c>
      <c r="I3" s="88" t="s">
        <v>411</v>
      </c>
      <c r="J3" s="89" t="s">
        <v>425</v>
      </c>
      <c r="K3" s="589"/>
      <c r="L3" s="589"/>
    </row>
    <row r="4" spans="1:14" x14ac:dyDescent="0.2">
      <c r="A4" s="90" t="str">
        <f>_xlfn.CONCAT(Locatieoverzicht!B3," (",Locatieoverzicht!C3," - ",Locatieoverzicht!E3,")")</f>
        <v>ALK-ARS (Arubastraat 2 - Alkmaar)</v>
      </c>
      <c r="B4" s="91"/>
      <c r="C4" s="92">
        <v>51</v>
      </c>
      <c r="D4" s="92">
        <v>15</v>
      </c>
      <c r="E4" s="93"/>
      <c r="F4" s="94">
        <v>2</v>
      </c>
      <c r="G4" s="95">
        <f t="shared" ref="G4:G33" si="0">IF(B4&lt;&gt;"",B4*gebu,0)</f>
        <v>0</v>
      </c>
      <c r="H4" s="96">
        <f t="shared" ref="H4:H33" si="1">IF(C4&lt;&gt;"",C4*gebi,0)</f>
        <v>0</v>
      </c>
      <c r="I4" s="96">
        <f t="shared" ref="I4:I33" si="2">IF(D4&lt;&gt;"",D4*2*sep,0)</f>
        <v>0</v>
      </c>
      <c r="J4" s="394"/>
      <c r="K4" s="395" t="s">
        <v>358</v>
      </c>
      <c r="L4" s="97">
        <f t="shared" ref="L4:L34" si="3">IFERROR(SUM(G4:J4)*F4,"")</f>
        <v>0</v>
      </c>
      <c r="N4" s="98"/>
    </row>
    <row r="5" spans="1:14" x14ac:dyDescent="0.2">
      <c r="A5" s="99" t="str">
        <f>_xlfn.CONCAT(Locatieoverzicht!B4," (",Locatieoverzicht!C4," - ",Locatieoverzicht!E4,")")</f>
        <v>ALK-DIK (De Dijk 15 - Alkmaar)</v>
      </c>
      <c r="B5" s="100">
        <v>16</v>
      </c>
      <c r="C5" s="101">
        <v>16</v>
      </c>
      <c r="D5" s="101">
        <v>10</v>
      </c>
      <c r="E5" s="377" t="s">
        <v>715</v>
      </c>
      <c r="F5" s="103">
        <v>2</v>
      </c>
      <c r="G5" s="104">
        <f t="shared" si="0"/>
        <v>0</v>
      </c>
      <c r="H5" s="105">
        <f t="shared" si="1"/>
        <v>0</v>
      </c>
      <c r="I5" s="105">
        <f t="shared" si="2"/>
        <v>0</v>
      </c>
      <c r="J5" s="396"/>
      <c r="K5" s="397" t="s">
        <v>358</v>
      </c>
      <c r="L5" s="106">
        <f t="shared" si="3"/>
        <v>0</v>
      </c>
      <c r="N5" s="107"/>
    </row>
    <row r="6" spans="1:14" x14ac:dyDescent="0.2">
      <c r="A6" s="108" t="str">
        <f>_xlfn.CONCAT(Locatieoverzicht!B5," (",Locatieoverzicht!C5," - ",Locatieoverzicht!E5,")")</f>
        <v>ALK-H18 (Hertog Aalbrechtweg 18 - Alkmaar)</v>
      </c>
      <c r="B6" s="109"/>
      <c r="C6" s="110"/>
      <c r="D6" s="110"/>
      <c r="E6" s="389" t="s">
        <v>718</v>
      </c>
      <c r="F6" s="112">
        <v>2</v>
      </c>
      <c r="G6" s="113">
        <f t="shared" si="0"/>
        <v>0</v>
      </c>
      <c r="H6" s="114">
        <f t="shared" si="1"/>
        <v>0</v>
      </c>
      <c r="I6" s="114">
        <f t="shared" si="2"/>
        <v>0</v>
      </c>
      <c r="J6" s="398"/>
      <c r="K6" s="399" t="s">
        <v>358</v>
      </c>
      <c r="L6" s="106">
        <f t="shared" si="3"/>
        <v>0</v>
      </c>
      <c r="N6" s="98"/>
    </row>
    <row r="7" spans="1:14" x14ac:dyDescent="0.2">
      <c r="A7" s="99" t="str">
        <f>_xlfn.CONCAT(Locatieoverzicht!B6," (",Locatieoverzicht!C6," - ",Locatieoverzicht!E6,")")</f>
        <v>ALK-HAW (Hertog Aalbrechtweg 5 - Alkmaar)</v>
      </c>
      <c r="B7" s="100">
        <v>95.4</v>
      </c>
      <c r="C7" s="101">
        <v>95.4</v>
      </c>
      <c r="D7" s="101">
        <v>134</v>
      </c>
      <c r="E7" s="102"/>
      <c r="F7" s="103">
        <v>2</v>
      </c>
      <c r="G7" s="104">
        <f t="shared" si="0"/>
        <v>0</v>
      </c>
      <c r="H7" s="105">
        <f t="shared" si="1"/>
        <v>0</v>
      </c>
      <c r="I7" s="105">
        <f t="shared" si="2"/>
        <v>0</v>
      </c>
      <c r="J7" s="396"/>
      <c r="K7" s="397" t="s">
        <v>358</v>
      </c>
      <c r="L7" s="106">
        <f t="shared" si="3"/>
        <v>0</v>
      </c>
    </row>
    <row r="8" spans="1:14" x14ac:dyDescent="0.2">
      <c r="A8" s="108" t="str">
        <f>_xlfn.CONCAT(Locatieoverzicht!B7," (",Locatieoverzicht!C7," - ",Locatieoverzicht!E7,")")</f>
        <v>ALK-MWS (Merwedestraat 4 - Alkmaar)</v>
      </c>
      <c r="B8" s="109">
        <v>141.30000000000001</v>
      </c>
      <c r="C8" s="110">
        <v>141.30000000000001</v>
      </c>
      <c r="D8" s="110">
        <v>38.4</v>
      </c>
      <c r="E8" s="111"/>
      <c r="F8" s="112">
        <v>2</v>
      </c>
      <c r="G8" s="113">
        <f t="shared" si="0"/>
        <v>0</v>
      </c>
      <c r="H8" s="114">
        <f t="shared" si="1"/>
        <v>0</v>
      </c>
      <c r="I8" s="114">
        <f t="shared" si="2"/>
        <v>0</v>
      </c>
      <c r="J8" s="398"/>
      <c r="K8" s="399" t="s">
        <v>358</v>
      </c>
      <c r="L8" s="106">
        <f t="shared" si="3"/>
        <v>0</v>
      </c>
    </row>
    <row r="9" spans="1:14" x14ac:dyDescent="0.2">
      <c r="A9" s="99" t="str">
        <f>_xlfn.CONCAT(Locatieoverzicht!B8," (",Locatieoverzicht!C8," - ",Locatieoverzicht!E8,")")</f>
        <v>ALK-VAS (Van Alphenstraat 9 - Alkmaar)</v>
      </c>
      <c r="B9" s="100">
        <v>61.6</v>
      </c>
      <c r="C9" s="101">
        <v>61.6</v>
      </c>
      <c r="D9" s="101">
        <v>4.8</v>
      </c>
      <c r="E9" s="102"/>
      <c r="F9" s="103">
        <v>2</v>
      </c>
      <c r="G9" s="104">
        <f t="shared" si="0"/>
        <v>0</v>
      </c>
      <c r="H9" s="105">
        <f t="shared" si="1"/>
        <v>0</v>
      </c>
      <c r="I9" s="105">
        <f t="shared" si="2"/>
        <v>0</v>
      </c>
      <c r="J9" s="396"/>
      <c r="K9" s="397" t="s">
        <v>358</v>
      </c>
      <c r="L9" s="106">
        <f t="shared" si="3"/>
        <v>0</v>
      </c>
    </row>
    <row r="10" spans="1:14" x14ac:dyDescent="0.2">
      <c r="A10" s="115" t="str">
        <f>_xlfn.CONCAT(Locatieoverzicht!B9," (",Locatieoverzicht!C9," - ",Locatieoverzicht!E9,")")</f>
        <v>ALK-ZEV (Zevenhuizen 10 - Alkmaar)</v>
      </c>
      <c r="B10" s="116">
        <v>39.6</v>
      </c>
      <c r="C10" s="117">
        <v>39.6</v>
      </c>
      <c r="D10" s="117">
        <v>6.3</v>
      </c>
      <c r="E10" s="118"/>
      <c r="F10" s="119">
        <v>2</v>
      </c>
      <c r="G10" s="120">
        <f t="shared" si="0"/>
        <v>0</v>
      </c>
      <c r="H10" s="121">
        <f t="shared" si="1"/>
        <v>0</v>
      </c>
      <c r="I10" s="121">
        <f t="shared" si="2"/>
        <v>0</v>
      </c>
      <c r="J10" s="400"/>
      <c r="K10" s="401" t="s">
        <v>358</v>
      </c>
      <c r="L10" s="106">
        <f t="shared" si="3"/>
        <v>0</v>
      </c>
    </row>
    <row r="11" spans="1:14" x14ac:dyDescent="0.2">
      <c r="A11" s="122" t="str">
        <f>_xlfn.CONCAT(Locatieoverzicht!B10," (",Locatieoverzicht!C10," - ",Locatieoverzicht!E10,")")</f>
        <v>ANP-DVW (De Verwachting 9 - Anna Paulowna)</v>
      </c>
      <c r="B11" s="123"/>
      <c r="C11" s="124">
        <v>29.6</v>
      </c>
      <c r="D11" s="124">
        <v>18</v>
      </c>
      <c r="E11" s="125"/>
      <c r="F11" s="126">
        <v>2</v>
      </c>
      <c r="G11" s="127">
        <f t="shared" si="0"/>
        <v>0</v>
      </c>
      <c r="H11" s="128">
        <f t="shared" si="1"/>
        <v>0</v>
      </c>
      <c r="I11" s="128">
        <f t="shared" si="2"/>
        <v>0</v>
      </c>
      <c r="J11" s="402"/>
      <c r="K11" s="403" t="s">
        <v>358</v>
      </c>
      <c r="L11" s="129">
        <f t="shared" si="3"/>
        <v>0</v>
      </c>
    </row>
    <row r="12" spans="1:14" x14ac:dyDescent="0.2">
      <c r="A12" s="130" t="str">
        <f>_xlfn.CONCAT(Locatieoverzicht!B11," (",Locatieoverzicht!C11," - ",Locatieoverzicht!E11,")")</f>
        <v>BKS-RTH (Rigtershof 33 - Bovenkarspel)</v>
      </c>
      <c r="B12" s="131">
        <v>39.5</v>
      </c>
      <c r="C12" s="132">
        <v>39.5</v>
      </c>
      <c r="D12" s="132">
        <v>15.2</v>
      </c>
      <c r="E12" s="133"/>
      <c r="F12" s="134">
        <v>2</v>
      </c>
      <c r="G12" s="135">
        <f t="shared" si="0"/>
        <v>0</v>
      </c>
      <c r="H12" s="136">
        <f t="shared" si="1"/>
        <v>0</v>
      </c>
      <c r="I12" s="136">
        <f t="shared" si="2"/>
        <v>0</v>
      </c>
      <c r="J12" s="404"/>
      <c r="K12" s="405" t="s">
        <v>358</v>
      </c>
      <c r="L12" s="137">
        <f t="shared" si="3"/>
        <v>0</v>
      </c>
    </row>
    <row r="13" spans="1:14" x14ac:dyDescent="0.2">
      <c r="A13" s="99" t="str">
        <f>_xlfn.CONCAT(Locatieoverzicht!B12," (",Locatieoverzicht!C12," - ",Locatieoverzicht!E12,")")</f>
        <v>CST-GDW (Geesterduinweg 5 - Castricum)</v>
      </c>
      <c r="B13" s="100">
        <v>51.6</v>
      </c>
      <c r="C13" s="101">
        <v>51.6</v>
      </c>
      <c r="D13" s="101">
        <v>43.4</v>
      </c>
      <c r="E13" s="102"/>
      <c r="F13" s="103">
        <v>2</v>
      </c>
      <c r="G13" s="104">
        <f t="shared" si="0"/>
        <v>0</v>
      </c>
      <c r="H13" s="105">
        <f t="shared" si="1"/>
        <v>0</v>
      </c>
      <c r="I13" s="105">
        <f t="shared" si="2"/>
        <v>0</v>
      </c>
      <c r="J13" s="396"/>
      <c r="K13" s="397" t="s">
        <v>358</v>
      </c>
      <c r="L13" s="137">
        <f t="shared" si="3"/>
        <v>0</v>
      </c>
    </row>
    <row r="14" spans="1:14" x14ac:dyDescent="0.2">
      <c r="A14" s="138" t="str">
        <f>_xlfn.CONCAT(Locatieoverzicht!B13," (",Locatieoverzicht!C13," - ",Locatieoverzicht!E13,")")</f>
        <v>DHE-BPL (Bernhardplein 76F/G - Den Helder)</v>
      </c>
      <c r="B14" s="131"/>
      <c r="C14" s="132">
        <v>97.4</v>
      </c>
      <c r="D14" s="132">
        <v>26.9</v>
      </c>
      <c r="E14" s="133"/>
      <c r="F14" s="134">
        <v>2</v>
      </c>
      <c r="G14" s="135">
        <f t="shared" si="0"/>
        <v>0</v>
      </c>
      <c r="H14" s="136">
        <f t="shared" si="1"/>
        <v>0</v>
      </c>
      <c r="I14" s="136">
        <f t="shared" si="2"/>
        <v>0</v>
      </c>
      <c r="J14" s="404"/>
      <c r="K14" s="405" t="s">
        <v>358</v>
      </c>
      <c r="L14" s="129">
        <f t="shared" si="3"/>
        <v>0</v>
      </c>
    </row>
    <row r="15" spans="1:14" x14ac:dyDescent="0.2">
      <c r="A15" s="139" t="str">
        <f>_xlfn.CONCAT(Locatieoverzicht!B14," (",Locatieoverzicht!C14," - ",Locatieoverzicht!E14,")")</f>
        <v>DHE-TSL (Texelstroomlaan 5 - Den Helder)</v>
      </c>
      <c r="B15" s="123">
        <v>25.5</v>
      </c>
      <c r="C15" s="124">
        <v>25.5</v>
      </c>
      <c r="D15" s="124">
        <v>20</v>
      </c>
      <c r="E15" s="379" t="s">
        <v>715</v>
      </c>
      <c r="F15" s="126">
        <v>2</v>
      </c>
      <c r="G15" s="127">
        <f t="shared" si="0"/>
        <v>0</v>
      </c>
      <c r="H15" s="128">
        <f t="shared" si="1"/>
        <v>0</v>
      </c>
      <c r="I15" s="128">
        <f t="shared" si="2"/>
        <v>0</v>
      </c>
      <c r="J15" s="402"/>
      <c r="K15" s="403" t="s">
        <v>358</v>
      </c>
      <c r="L15" s="137">
        <f t="shared" si="3"/>
        <v>0</v>
      </c>
    </row>
    <row r="16" spans="1:14" x14ac:dyDescent="0.2">
      <c r="A16" s="138" t="str">
        <f>_xlfn.CONCAT(Locatieoverzicht!B15," (",Locatieoverzicht!C15," - ",Locatieoverzicht!E15,")")</f>
        <v>ENK-WWL (Wielewaal 7 - Enkhuizen)</v>
      </c>
      <c r="B16" s="131">
        <v>27.9</v>
      </c>
      <c r="C16" s="132">
        <v>27.9</v>
      </c>
      <c r="D16" s="132">
        <v>7.9</v>
      </c>
      <c r="E16" s="133"/>
      <c r="F16" s="134">
        <v>2</v>
      </c>
      <c r="G16" s="135">
        <f t="shared" si="0"/>
        <v>0</v>
      </c>
      <c r="H16" s="136">
        <f t="shared" si="1"/>
        <v>0</v>
      </c>
      <c r="I16" s="136">
        <f t="shared" si="2"/>
        <v>0</v>
      </c>
      <c r="J16" s="404"/>
      <c r="K16" s="405" t="s">
        <v>358</v>
      </c>
      <c r="L16" s="129">
        <f t="shared" si="3"/>
        <v>0</v>
      </c>
    </row>
    <row r="17" spans="1:14" x14ac:dyDescent="0.2">
      <c r="A17" s="99" t="str">
        <f>_xlfn.CONCAT(Locatieoverzicht!B16," (",Locatieoverzicht!C16," - ",Locatieoverzicht!E16,")")</f>
        <v>GRF-JPL (Jan Ploegerlaan 1D - De Rijp)</v>
      </c>
      <c r="B17" s="100">
        <v>17.3</v>
      </c>
      <c r="C17" s="101">
        <v>17.3</v>
      </c>
      <c r="D17" s="101">
        <v>27.6</v>
      </c>
      <c r="E17" s="102"/>
      <c r="F17" s="103">
        <v>2</v>
      </c>
      <c r="G17" s="104">
        <f t="shared" si="0"/>
        <v>0</v>
      </c>
      <c r="H17" s="105">
        <f t="shared" si="1"/>
        <v>0</v>
      </c>
      <c r="I17" s="105">
        <f t="shared" si="2"/>
        <v>0</v>
      </c>
      <c r="J17" s="396"/>
      <c r="K17" s="397" t="s">
        <v>358</v>
      </c>
      <c r="L17" s="106">
        <f t="shared" si="3"/>
        <v>0</v>
      </c>
      <c r="N17" s="98"/>
    </row>
    <row r="18" spans="1:14" x14ac:dyDescent="0.2">
      <c r="A18" s="140" t="str">
        <f>_xlfn.CONCAT(Locatieoverzicht!B17," (",Locatieoverzicht!C17," - ",Locatieoverzicht!E17,")")</f>
        <v>HHW-PRH (Parelhof 1 - Heerhugowaard)</v>
      </c>
      <c r="B18" s="109">
        <v>63.7</v>
      </c>
      <c r="C18" s="110">
        <v>63.7</v>
      </c>
      <c r="D18" s="110">
        <v>108.7</v>
      </c>
      <c r="E18" s="111"/>
      <c r="F18" s="141">
        <v>2</v>
      </c>
      <c r="G18" s="113">
        <f t="shared" si="0"/>
        <v>0</v>
      </c>
      <c r="H18" s="114">
        <f t="shared" si="1"/>
        <v>0</v>
      </c>
      <c r="I18" s="114">
        <f t="shared" si="2"/>
        <v>0</v>
      </c>
      <c r="J18" s="398"/>
      <c r="K18" s="399" t="s">
        <v>358</v>
      </c>
      <c r="L18" s="106">
        <f t="shared" si="3"/>
        <v>0</v>
      </c>
    </row>
    <row r="19" spans="1:14" x14ac:dyDescent="0.2">
      <c r="A19" s="99" t="str">
        <f>_xlfn.CONCAT(Locatieoverzicht!B18," (",Locatieoverzicht!C18," - ",Locatieoverzicht!E18,")")</f>
        <v>HKS-ODN (Om de Noord 29a - Hoogkarspel)</v>
      </c>
      <c r="B19" s="100">
        <v>21.2</v>
      </c>
      <c r="C19" s="101">
        <v>21.2</v>
      </c>
      <c r="D19" s="101">
        <v>9.1</v>
      </c>
      <c r="E19" s="102"/>
      <c r="F19" s="103">
        <v>2</v>
      </c>
      <c r="G19" s="104">
        <f t="shared" si="0"/>
        <v>0</v>
      </c>
      <c r="H19" s="105">
        <f t="shared" si="1"/>
        <v>0</v>
      </c>
      <c r="I19" s="105">
        <f t="shared" si="2"/>
        <v>0</v>
      </c>
      <c r="J19" s="396"/>
      <c r="K19" s="397" t="s">
        <v>358</v>
      </c>
      <c r="L19" s="106">
        <f t="shared" si="3"/>
        <v>0</v>
      </c>
    </row>
    <row r="20" spans="1:14" x14ac:dyDescent="0.2">
      <c r="A20" s="140" t="str">
        <f>_xlfn.CONCAT(Locatieoverzicht!B19," (",Locatieoverzicht!C19," - ",Locatieoverzicht!E19,")")</f>
        <v>HLO-HLW (Holleweg 94 - Heiloo)</v>
      </c>
      <c r="B20" s="109">
        <v>64.8</v>
      </c>
      <c r="C20" s="110">
        <v>64.8</v>
      </c>
      <c r="D20" s="110">
        <v>5.3</v>
      </c>
      <c r="E20" s="111"/>
      <c r="F20" s="141">
        <v>2</v>
      </c>
      <c r="G20" s="113">
        <f t="shared" si="0"/>
        <v>0</v>
      </c>
      <c r="H20" s="114">
        <f t="shared" si="1"/>
        <v>0</v>
      </c>
      <c r="I20" s="114">
        <f t="shared" si="2"/>
        <v>0</v>
      </c>
      <c r="J20" s="398"/>
      <c r="K20" s="399" t="s">
        <v>358</v>
      </c>
      <c r="L20" s="106">
        <f t="shared" si="3"/>
        <v>0</v>
      </c>
    </row>
    <row r="21" spans="1:14" x14ac:dyDescent="0.2">
      <c r="A21" s="142" t="str">
        <f>_xlfn.CONCAT(Locatieoverzicht!B20," (",Locatieoverzicht!C20," - ",Locatieoverzicht!E20,")")</f>
        <v>HRN-MSS (Maelsonstraat 11 - Hoorn)</v>
      </c>
      <c r="B21" s="143">
        <v>182.9</v>
      </c>
      <c r="C21" s="144">
        <v>182.9</v>
      </c>
      <c r="D21" s="144">
        <v>66.900000000000006</v>
      </c>
      <c r="E21" s="145"/>
      <c r="F21" s="146">
        <v>2</v>
      </c>
      <c r="G21" s="147">
        <f t="shared" si="0"/>
        <v>0</v>
      </c>
      <c r="H21" s="148">
        <f t="shared" si="1"/>
        <v>0</v>
      </c>
      <c r="I21" s="148">
        <f t="shared" si="2"/>
        <v>0</v>
      </c>
      <c r="J21" s="406"/>
      <c r="K21" s="407" t="s">
        <v>358</v>
      </c>
      <c r="L21" s="106">
        <f t="shared" si="3"/>
        <v>0</v>
      </c>
    </row>
    <row r="22" spans="1:14" x14ac:dyDescent="0.2">
      <c r="A22" s="297" t="str">
        <f>_xlfn.CONCAT(Locatieoverzicht!B21," (",Locatieoverzicht!C21," - ",Locatieoverzicht!E21,")")</f>
        <v>JUL-MDZ (Middelzand 3503/3504 - Julianadorp)</v>
      </c>
      <c r="B22" s="131">
        <v>20.3</v>
      </c>
      <c r="C22" s="132">
        <v>20.3</v>
      </c>
      <c r="D22" s="132">
        <v>9.1999999999999993</v>
      </c>
      <c r="E22" s="133"/>
      <c r="F22" s="149">
        <v>2</v>
      </c>
      <c r="G22" s="135">
        <f t="shared" si="0"/>
        <v>0</v>
      </c>
      <c r="H22" s="136">
        <f t="shared" si="1"/>
        <v>0</v>
      </c>
      <c r="I22" s="136">
        <f t="shared" si="2"/>
        <v>0</v>
      </c>
      <c r="J22" s="404"/>
      <c r="K22" s="405" t="s">
        <v>358</v>
      </c>
      <c r="L22" s="129">
        <f t="shared" si="3"/>
        <v>0</v>
      </c>
    </row>
    <row r="23" spans="1:14" x14ac:dyDescent="0.2">
      <c r="A23" s="139" t="str">
        <f>_xlfn.CONCAT(Locatieoverzicht!B22," (",Locatieoverzicht!C22," - ",Locatieoverzicht!E22,")")</f>
        <v>MDB-SMH (Sint Maartenshof 36F - Medemblik)</v>
      </c>
      <c r="B23" s="123">
        <v>43.3</v>
      </c>
      <c r="C23" s="124">
        <v>43.3</v>
      </c>
      <c r="D23" s="124">
        <v>0.5</v>
      </c>
      <c r="E23" s="125"/>
      <c r="F23" s="126">
        <v>2</v>
      </c>
      <c r="G23" s="127">
        <f t="shared" si="0"/>
        <v>0</v>
      </c>
      <c r="H23" s="128">
        <f t="shared" si="1"/>
        <v>0</v>
      </c>
      <c r="I23" s="128">
        <f t="shared" si="2"/>
        <v>0</v>
      </c>
      <c r="J23" s="402"/>
      <c r="K23" s="403" t="s">
        <v>358</v>
      </c>
      <c r="L23" s="137">
        <f t="shared" si="3"/>
        <v>0</v>
      </c>
    </row>
    <row r="24" spans="1:14" x14ac:dyDescent="0.2">
      <c r="A24" s="140" t="str">
        <f>_xlfn.CONCAT(Locatieoverzicht!B23," (",Locatieoverzicht!C23," - ",Locatieoverzicht!E23,")")</f>
        <v>MDM-POS (Poststraat 16 - Middenmeer)</v>
      </c>
      <c r="B24" s="109">
        <v>32.5</v>
      </c>
      <c r="C24" s="110">
        <v>32.5</v>
      </c>
      <c r="D24" s="110">
        <v>16</v>
      </c>
      <c r="E24" s="111"/>
      <c r="F24" s="141">
        <v>2</v>
      </c>
      <c r="G24" s="113">
        <f t="shared" si="0"/>
        <v>0</v>
      </c>
      <c r="H24" s="114">
        <f t="shared" si="1"/>
        <v>0</v>
      </c>
      <c r="I24" s="114">
        <f t="shared" si="2"/>
        <v>0</v>
      </c>
      <c r="J24" s="398"/>
      <c r="K24" s="399" t="s">
        <v>358</v>
      </c>
      <c r="L24" s="137">
        <f t="shared" si="3"/>
        <v>0</v>
      </c>
    </row>
    <row r="25" spans="1:14" x14ac:dyDescent="0.2">
      <c r="A25" s="122" t="str">
        <f>_xlfn.CONCAT(Locatieoverzicht!B24," (",Locatieoverzicht!C24," - ",Locatieoverzicht!E24,")")</f>
        <v>NND-DMT (De Meet 5 - Nieuwe Niedorp)</v>
      </c>
      <c r="B25" s="123">
        <v>16</v>
      </c>
      <c r="C25" s="124">
        <v>16</v>
      </c>
      <c r="D25" s="124">
        <v>10</v>
      </c>
      <c r="E25" s="379" t="s">
        <v>715</v>
      </c>
      <c r="F25" s="126">
        <v>2</v>
      </c>
      <c r="G25" s="127">
        <f t="shared" si="0"/>
        <v>0</v>
      </c>
      <c r="H25" s="128">
        <f t="shared" si="1"/>
        <v>0</v>
      </c>
      <c r="I25" s="128">
        <f t="shared" si="2"/>
        <v>0</v>
      </c>
      <c r="J25" s="402"/>
      <c r="K25" s="403" t="s">
        <v>358</v>
      </c>
      <c r="L25" s="129">
        <f t="shared" si="3"/>
        <v>0</v>
      </c>
    </row>
    <row r="26" spans="1:14" x14ac:dyDescent="0.2">
      <c r="A26" s="297" t="str">
        <f>_xlfn.CONCAT(Locatieoverzicht!B25," (",Locatieoverzicht!C25," - ",Locatieoverzicht!E25,")")</f>
        <v>OBD-LMS (Dr. Lohmanstraat 21C - Obdam)</v>
      </c>
      <c r="B26" s="131">
        <v>16.899999999999999</v>
      </c>
      <c r="C26" s="132">
        <v>16.899999999999999</v>
      </c>
      <c r="D26" s="132">
        <v>9.8000000000000007</v>
      </c>
      <c r="E26" s="133"/>
      <c r="F26" s="149">
        <v>2</v>
      </c>
      <c r="G26" s="135">
        <f t="shared" si="0"/>
        <v>0</v>
      </c>
      <c r="H26" s="136">
        <f t="shared" si="1"/>
        <v>0</v>
      </c>
      <c r="I26" s="136">
        <f t="shared" si="2"/>
        <v>0</v>
      </c>
      <c r="J26" s="404"/>
      <c r="K26" s="405" t="s">
        <v>358</v>
      </c>
      <c r="L26" s="129">
        <f t="shared" si="3"/>
        <v>0</v>
      </c>
    </row>
    <row r="27" spans="1:14" x14ac:dyDescent="0.2">
      <c r="A27" s="122" t="str">
        <f>_xlfn.CONCAT(Locatieoverzicht!B26," (",Locatieoverzicht!C26," - ",Locatieoverzicht!E26,")")</f>
        <v>SCH-ZDW (Zuiderweg 25 - Schagen)</v>
      </c>
      <c r="B27" s="123">
        <v>93.7</v>
      </c>
      <c r="C27" s="124">
        <v>93.7</v>
      </c>
      <c r="D27" s="124">
        <v>46.8</v>
      </c>
      <c r="E27" s="125"/>
      <c r="F27" s="126">
        <v>2</v>
      </c>
      <c r="G27" s="127">
        <f t="shared" si="0"/>
        <v>0</v>
      </c>
      <c r="H27" s="128">
        <f t="shared" si="1"/>
        <v>0</v>
      </c>
      <c r="I27" s="128">
        <f t="shared" si="2"/>
        <v>0</v>
      </c>
      <c r="J27" s="402"/>
      <c r="K27" s="403" t="s">
        <v>358</v>
      </c>
      <c r="L27" s="129">
        <f t="shared" si="3"/>
        <v>0</v>
      </c>
    </row>
    <row r="28" spans="1:14" x14ac:dyDescent="0.2">
      <c r="A28" s="297" t="str">
        <f>_xlfn.CONCAT(Locatieoverzicht!B27," (",Locatieoverzicht!C27," - ",Locatieoverzicht!E27,")")</f>
        <v>SPB-PMS (Pastoor Meriusstraat 4 - Opmeer)</v>
      </c>
      <c r="B28" s="131"/>
      <c r="C28" s="132">
        <v>3.8</v>
      </c>
      <c r="D28" s="132">
        <v>8.5</v>
      </c>
      <c r="E28" s="133"/>
      <c r="F28" s="149">
        <v>2</v>
      </c>
      <c r="G28" s="135">
        <f t="shared" si="0"/>
        <v>0</v>
      </c>
      <c r="H28" s="136">
        <f t="shared" si="1"/>
        <v>0</v>
      </c>
      <c r="I28" s="136">
        <f t="shared" si="2"/>
        <v>0</v>
      </c>
      <c r="J28" s="404"/>
      <c r="K28" s="405" t="s">
        <v>358</v>
      </c>
      <c r="L28" s="129">
        <f t="shared" si="3"/>
        <v>0</v>
      </c>
    </row>
    <row r="29" spans="1:14" x14ac:dyDescent="0.2">
      <c r="A29" s="122" t="str">
        <f>_xlfn.CONCAT(Locatieoverzicht!B28," (",Locatieoverzicht!C28," - ",Locatieoverzicht!E28,")")</f>
        <v>VHU-TWV (Twijver 66B - Venhuizen)</v>
      </c>
      <c r="B29" s="123">
        <v>11.9</v>
      </c>
      <c r="C29" s="124">
        <v>11.9</v>
      </c>
      <c r="D29" s="124">
        <v>3.6</v>
      </c>
      <c r="E29" s="125"/>
      <c r="F29" s="126">
        <v>2</v>
      </c>
      <c r="G29" s="127">
        <f t="shared" si="0"/>
        <v>0</v>
      </c>
      <c r="H29" s="128">
        <f t="shared" si="1"/>
        <v>0</v>
      </c>
      <c r="I29" s="128">
        <f t="shared" si="2"/>
        <v>0</v>
      </c>
      <c r="J29" s="402"/>
      <c r="K29" s="403" t="s">
        <v>358</v>
      </c>
      <c r="L29" s="129">
        <f t="shared" si="3"/>
        <v>0</v>
      </c>
    </row>
    <row r="30" spans="1:14" x14ac:dyDescent="0.2">
      <c r="A30" s="297" t="str">
        <f>_xlfn.CONCAT(Locatieoverzicht!B29," (",Locatieoverzicht!C29," - ",Locatieoverzicht!E29,")")</f>
        <v>WGN-CFL (Conferencelaan 21 - Medemblik)</v>
      </c>
      <c r="B30" s="131">
        <v>29.7</v>
      </c>
      <c r="C30" s="132">
        <v>29.7</v>
      </c>
      <c r="D30" s="132">
        <v>28.4</v>
      </c>
      <c r="E30" s="133"/>
      <c r="F30" s="149">
        <v>2</v>
      </c>
      <c r="G30" s="135">
        <f t="shared" si="0"/>
        <v>0</v>
      </c>
      <c r="H30" s="136">
        <f t="shared" si="1"/>
        <v>0</v>
      </c>
      <c r="I30" s="136">
        <f t="shared" si="2"/>
        <v>0</v>
      </c>
      <c r="J30" s="404"/>
      <c r="K30" s="405" t="s">
        <v>358</v>
      </c>
      <c r="L30" s="129">
        <f t="shared" si="3"/>
        <v>0</v>
      </c>
    </row>
    <row r="31" spans="1:14" x14ac:dyDescent="0.2">
      <c r="A31" s="122" t="str">
        <f>_xlfn.CONCAT(Locatieoverzicht!B30," (",Locatieoverzicht!C30," - ",Locatieoverzicht!E30,")")</f>
        <v>WRM-DBK (Doorbraak 24 - Warmenhuizen)</v>
      </c>
      <c r="B31" s="123">
        <v>42.3</v>
      </c>
      <c r="C31" s="124">
        <v>42.3</v>
      </c>
      <c r="D31" s="124">
        <v>10.4</v>
      </c>
      <c r="E31" s="125"/>
      <c r="F31" s="126">
        <v>2</v>
      </c>
      <c r="G31" s="127">
        <f t="shared" si="0"/>
        <v>0</v>
      </c>
      <c r="H31" s="128">
        <f t="shared" si="1"/>
        <v>0</v>
      </c>
      <c r="I31" s="128">
        <f t="shared" si="2"/>
        <v>0</v>
      </c>
      <c r="J31" s="402"/>
      <c r="K31" s="403" t="s">
        <v>358</v>
      </c>
      <c r="L31" s="129">
        <f t="shared" si="3"/>
        <v>0</v>
      </c>
    </row>
    <row r="32" spans="1:14" x14ac:dyDescent="0.2">
      <c r="A32" s="297" t="str">
        <f>_xlfn.CONCAT(Locatieoverzicht!B31," (",Locatieoverzicht!C31," - ",Locatieoverzicht!E31,")")</f>
        <v>WRV-OLW (Olympia 141A - Wervershoof)</v>
      </c>
      <c r="B32" s="131">
        <v>16.5</v>
      </c>
      <c r="C32" s="132">
        <v>16.5</v>
      </c>
      <c r="D32" s="132">
        <v>7.4</v>
      </c>
      <c r="E32" s="133"/>
      <c r="F32" s="149">
        <v>2</v>
      </c>
      <c r="G32" s="135">
        <f t="shared" si="0"/>
        <v>0</v>
      </c>
      <c r="H32" s="136">
        <f t="shared" si="1"/>
        <v>0</v>
      </c>
      <c r="I32" s="136">
        <f t="shared" si="2"/>
        <v>0</v>
      </c>
      <c r="J32" s="404"/>
      <c r="K32" s="405" t="s">
        <v>358</v>
      </c>
      <c r="L32" s="129">
        <f t="shared" si="3"/>
        <v>0</v>
      </c>
    </row>
    <row r="33" spans="1:12" x14ac:dyDescent="0.2">
      <c r="A33" s="122" t="str">
        <f>_xlfn.CONCAT(Locatieoverzicht!B32," (",Locatieoverzicht!C32," - ",Locatieoverzicht!E32,")")</f>
        <v>ZSW-BGR (Bosgroet 6 - Zuid Scharwoude)</v>
      </c>
      <c r="B33" s="143">
        <v>38</v>
      </c>
      <c r="C33" s="144">
        <v>38</v>
      </c>
      <c r="D33" s="144">
        <v>7.5</v>
      </c>
      <c r="E33" s="380" t="s">
        <v>715</v>
      </c>
      <c r="F33" s="146">
        <v>2</v>
      </c>
      <c r="G33" s="147">
        <f t="shared" si="0"/>
        <v>0</v>
      </c>
      <c r="H33" s="148">
        <f t="shared" si="1"/>
        <v>0</v>
      </c>
      <c r="I33" s="148">
        <f t="shared" si="2"/>
        <v>0</v>
      </c>
      <c r="J33" s="406"/>
      <c r="K33" s="407" t="s">
        <v>358</v>
      </c>
      <c r="L33" s="129">
        <f t="shared" si="3"/>
        <v>0</v>
      </c>
    </row>
    <row r="34" spans="1:12" ht="12.75" thickBot="1" x14ac:dyDescent="0.25">
      <c r="A34" s="381" t="str">
        <f>_xlfn.CONCAT(Locatieoverzicht!B36," (",Locatieoverzicht!C36," - ",Locatieoverzicht!E36,")")</f>
        <v>DHE-FBW (Drs. F. Bijlweg 1 - Den Helder)</v>
      </c>
      <c r="B34" s="382">
        <v>276</v>
      </c>
      <c r="C34" s="383">
        <v>276</v>
      </c>
      <c r="D34" s="383">
        <v>30</v>
      </c>
      <c r="E34" s="384" t="s">
        <v>715</v>
      </c>
      <c r="F34" s="385">
        <v>2</v>
      </c>
      <c r="G34" s="386">
        <f t="shared" ref="G34" si="4">IF(B34&lt;&gt;"",B34*gebu,0)</f>
        <v>0</v>
      </c>
      <c r="H34" s="387">
        <f t="shared" ref="H34" si="5">IF(C34&lt;&gt;"",C34*gebi,0)</f>
        <v>0</v>
      </c>
      <c r="I34" s="387">
        <f t="shared" ref="I34" si="6">IF(D34&lt;&gt;"",D34*2*sep,0)</f>
        <v>0</v>
      </c>
      <c r="J34" s="408"/>
      <c r="K34" s="409" t="s">
        <v>358</v>
      </c>
      <c r="L34" s="129">
        <f t="shared" si="3"/>
        <v>0</v>
      </c>
    </row>
    <row r="35" spans="1:12" s="159" customFormat="1" ht="20.100000000000001" customHeight="1" thickBot="1" x14ac:dyDescent="0.25">
      <c r="A35" s="150" t="s">
        <v>313</v>
      </c>
      <c r="B35" s="151">
        <f>SUM(B4:B34)</f>
        <v>1485.4</v>
      </c>
      <c r="C35" s="152">
        <f>SUM(C4:C34)</f>
        <v>1667.2000000000003</v>
      </c>
      <c r="D35" s="152">
        <f>SUM(D4:D34)</f>
        <v>745.59999999999991</v>
      </c>
      <c r="E35" s="153">
        <f>SUM(E4:E33)</f>
        <v>0</v>
      </c>
      <c r="F35" s="154"/>
      <c r="G35" s="155">
        <f t="shared" ref="G35:L35" si="7">SUM(G4:G33)</f>
        <v>0</v>
      </c>
      <c r="H35" s="156">
        <f t="shared" si="7"/>
        <v>0</v>
      </c>
      <c r="I35" s="156">
        <f t="shared" si="7"/>
        <v>0</v>
      </c>
      <c r="J35" s="157">
        <f t="shared" si="7"/>
        <v>0</v>
      </c>
      <c r="K35" s="158">
        <f t="shared" si="7"/>
        <v>0</v>
      </c>
      <c r="L35" s="388">
        <f>SUM(L4:L34)</f>
        <v>0</v>
      </c>
    </row>
    <row r="37" spans="1:12" x14ac:dyDescent="0.2">
      <c r="A37" s="378" t="s">
        <v>716</v>
      </c>
    </row>
    <row r="38" spans="1:12" x14ac:dyDescent="0.2">
      <c r="A38" s="378" t="s">
        <v>719</v>
      </c>
    </row>
  </sheetData>
  <sheetProtection algorithmName="SHA-512" hashValue="eUhKo/2z+hv447oh0iR4ou9oD+PaKv8RRJtx4kzAV8by2RQ5gWF4gRsYAySZ58hIWp3pDRAyoGbGw3CYw0euGw==" saltValue="xuDnujxWEeJWzgF0OKO/Ig==" spinCount="100000" sheet="1" objects="1" scenarios="1"/>
  <mergeCells count="6">
    <mergeCell ref="L2:L3"/>
    <mergeCell ref="A2:A3"/>
    <mergeCell ref="B2:E2"/>
    <mergeCell ref="F2:F3"/>
    <mergeCell ref="G2:J2"/>
    <mergeCell ref="K2:K3"/>
  </mergeCells>
  <conditionalFormatting sqref="J4:K16 J25:K34">
    <cfRule type="expression" dxfId="7" priority="3">
      <formula>AND(J4="",ISEVEN(ROW()))</formula>
    </cfRule>
    <cfRule type="expression" dxfId="6" priority="4">
      <formula>AND(J4="",ISODD(ROW()))</formula>
    </cfRule>
  </conditionalFormatting>
  <conditionalFormatting sqref="J17:K24">
    <cfRule type="expression" dxfId="5" priority="1">
      <formula>AND(J17="",ISEVEN(ROW()))</formula>
    </cfRule>
    <cfRule type="expression" dxfId="4" priority="2">
      <formula>AND(J17="",ISODD(ROW()))</formula>
    </cfRule>
  </conditionalFormatting>
  <printOptions horizontalCentered="1" verticalCentered="1"/>
  <pageMargins left="0.70866141732283472" right="0.70866141732283472" top="0.74803149606299213" bottom="0.74803149606299213" header="0.31496062992125984" footer="0.31496062992125984"/>
  <pageSetup paperSize="9" scale="59" fitToHeight="0" orientation="landscape" horizontalDpi="0" verticalDpi="0" r:id="rId1"/>
  <headerFooter>
    <oddHeader>&amp;L&amp;9&amp;K04-048Glazenwassen&amp;R&amp;G</oddHeader>
    <oddFooter>&amp;L&amp;9&amp;K04-049Offerteaanvraag EU Openbare aanbesteding Schoonmaakonderhoud&amp;C&amp;9&amp;K04-049 8 april 2022&amp;R&amp;9&amp;K04-049Blad &amp;P van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6638C-C7B5-4913-99D3-FF3C72A52DA2}">
  <sheetPr codeName="Blad19">
    <tabColor theme="4" tint="0.39997558519241921"/>
    <pageSetUpPr fitToPage="1"/>
  </sheetPr>
  <dimension ref="A1:F58"/>
  <sheetViews>
    <sheetView showGridLines="0" showRowColHeaders="0" workbookViewId="0">
      <selection activeCell="D21" sqref="D21"/>
    </sheetView>
  </sheetViews>
  <sheetFormatPr defaultRowHeight="12" x14ac:dyDescent="0.2"/>
  <cols>
    <col min="1" max="1" width="9.140625" style="9" customWidth="1"/>
    <col min="2" max="6" width="20.7109375" style="9" customWidth="1"/>
    <col min="7" max="16384" width="9.140625" style="9"/>
  </cols>
  <sheetData>
    <row r="1" spans="2:6" ht="12.75" thickBot="1" x14ac:dyDescent="0.25"/>
    <row r="2" spans="2:6" ht="12.75" thickBot="1" x14ac:dyDescent="0.25">
      <c r="B2" s="585" t="s">
        <v>688</v>
      </c>
      <c r="C2" s="586"/>
      <c r="D2" s="586"/>
      <c r="E2" s="586"/>
      <c r="F2" s="587"/>
    </row>
    <row r="4" spans="2:6" x14ac:dyDescent="0.2">
      <c r="B4" s="9" t="s">
        <v>689</v>
      </c>
      <c r="D4" s="597"/>
      <c r="E4" s="597"/>
      <c r="F4" s="597"/>
    </row>
    <row r="6" spans="2:6" x14ac:dyDescent="0.2">
      <c r="B6" s="9" t="s">
        <v>690</v>
      </c>
      <c r="D6" s="597"/>
      <c r="E6" s="597"/>
      <c r="F6" s="597"/>
    </row>
    <row r="8" spans="2:6" x14ac:dyDescent="0.2">
      <c r="B8" s="9" t="s">
        <v>691</v>
      </c>
      <c r="C8" s="597"/>
      <c r="D8" s="597"/>
      <c r="E8" s="9" t="s">
        <v>692</v>
      </c>
      <c r="F8" s="373"/>
    </row>
    <row r="11" spans="2:6" ht="12" customHeight="1" x14ac:dyDescent="0.2">
      <c r="B11" s="598" t="s">
        <v>695</v>
      </c>
      <c r="C11" s="598"/>
      <c r="D11" s="598"/>
      <c r="E11" s="598"/>
      <c r="F11" s="598"/>
    </row>
    <row r="12" spans="2:6" x14ac:dyDescent="0.2">
      <c r="B12" s="598"/>
      <c r="C12" s="598"/>
      <c r="D12" s="598"/>
      <c r="E12" s="598"/>
      <c r="F12" s="598"/>
    </row>
    <row r="13" spans="2:6" x14ac:dyDescent="0.2">
      <c r="B13" s="598"/>
      <c r="C13" s="598"/>
      <c r="D13" s="598"/>
      <c r="E13" s="598"/>
      <c r="F13" s="598"/>
    </row>
    <row r="15" spans="2:6" x14ac:dyDescent="0.2">
      <c r="B15" s="344" t="s">
        <v>693</v>
      </c>
    </row>
    <row r="16" spans="2:6" x14ac:dyDescent="0.2">
      <c r="B16" s="598" t="s">
        <v>694</v>
      </c>
      <c r="C16" s="598"/>
      <c r="D16" s="598"/>
      <c r="E16" s="598"/>
      <c r="F16" s="598"/>
    </row>
    <row r="17" spans="2:6" x14ac:dyDescent="0.2">
      <c r="B17" s="598"/>
      <c r="C17" s="598"/>
      <c r="D17" s="598"/>
      <c r="E17" s="598"/>
      <c r="F17" s="598"/>
    </row>
    <row r="18" spans="2:6" x14ac:dyDescent="0.2">
      <c r="B18" s="598"/>
      <c r="C18" s="598"/>
      <c r="D18" s="598"/>
      <c r="E18" s="598"/>
      <c r="F18" s="598"/>
    </row>
    <row r="20" spans="2:6" ht="12.75" thickBot="1" x14ac:dyDescent="0.25">
      <c r="B20" s="344" t="s">
        <v>696</v>
      </c>
    </row>
    <row r="21" spans="2:6" x14ac:dyDescent="0.2">
      <c r="B21" s="345"/>
      <c r="C21" s="346"/>
      <c r="D21" s="346"/>
      <c r="E21" s="346"/>
      <c r="F21" s="347"/>
    </row>
    <row r="22" spans="2:6" x14ac:dyDescent="0.2">
      <c r="B22" s="348" t="s">
        <v>697</v>
      </c>
      <c r="C22" s="349"/>
      <c r="D22" s="350">
        <f ca="1">'Kostenblad schoonmaak'!L303</f>
        <v>0</v>
      </c>
      <c r="E22" s="351" t="s">
        <v>705</v>
      </c>
      <c r="F22" s="352"/>
    </row>
    <row r="23" spans="2:6" x14ac:dyDescent="0.2">
      <c r="B23" s="353"/>
      <c r="C23" s="354"/>
      <c r="D23" s="355"/>
      <c r="E23" s="356"/>
      <c r="F23" s="357"/>
    </row>
    <row r="24" spans="2:6" x14ac:dyDescent="0.2">
      <c r="B24" s="348" t="s">
        <v>700</v>
      </c>
      <c r="C24" s="349"/>
      <c r="D24" s="350">
        <f ca="1">'Kostenblad schoonmaak'!L310</f>
        <v>0</v>
      </c>
      <c r="E24" s="351" t="s">
        <v>705</v>
      </c>
      <c r="F24" s="352"/>
    </row>
    <row r="25" spans="2:6" x14ac:dyDescent="0.2">
      <c r="B25" s="353"/>
      <c r="C25" s="354"/>
      <c r="D25" s="355"/>
      <c r="E25" s="356"/>
      <c r="F25" s="357"/>
    </row>
    <row r="26" spans="2:6" x14ac:dyDescent="0.2">
      <c r="B26" s="348" t="s">
        <v>701</v>
      </c>
      <c r="C26" s="349"/>
      <c r="D26" s="350">
        <f ca="1">'Kostenblad schoonmaak'!L316</f>
        <v>0</v>
      </c>
      <c r="E26" s="351" t="s">
        <v>705</v>
      </c>
      <c r="F26" s="352"/>
    </row>
    <row r="27" spans="2:6" x14ac:dyDescent="0.2">
      <c r="B27" s="353"/>
      <c r="C27" s="354"/>
      <c r="D27" s="355"/>
      <c r="E27" s="356"/>
      <c r="F27" s="357"/>
    </row>
    <row r="28" spans="2:6" x14ac:dyDescent="0.2">
      <c r="B28" s="348" t="s">
        <v>702</v>
      </c>
      <c r="C28" s="349"/>
      <c r="D28" s="350">
        <f ca="1">'Kostenblad schoonmaak'!L322</f>
        <v>0</v>
      </c>
      <c r="E28" s="351" t="s">
        <v>705</v>
      </c>
      <c r="F28" s="352"/>
    </row>
    <row r="29" spans="2:6" x14ac:dyDescent="0.2">
      <c r="B29" s="353"/>
      <c r="C29" s="354"/>
      <c r="D29" s="355"/>
      <c r="E29" s="356"/>
      <c r="F29" s="357"/>
    </row>
    <row r="30" spans="2:6" x14ac:dyDescent="0.2">
      <c r="B30" s="348" t="s">
        <v>703</v>
      </c>
      <c r="C30" s="349"/>
      <c r="D30" s="350">
        <f>Glazenwassen!L35</f>
        <v>0</v>
      </c>
      <c r="E30" s="351" t="s">
        <v>706</v>
      </c>
      <c r="F30" s="352"/>
    </row>
    <row r="31" spans="2:6" x14ac:dyDescent="0.2">
      <c r="B31" s="353"/>
      <c r="C31" s="354"/>
      <c r="D31" s="355"/>
      <c r="E31" s="356"/>
      <c r="F31" s="357"/>
    </row>
    <row r="32" spans="2:6" x14ac:dyDescent="0.2">
      <c r="B32" s="348" t="s">
        <v>704</v>
      </c>
      <c r="C32" s="349"/>
      <c r="D32" s="350">
        <f>SUMPRODUCT(Staffelprijzen!C5:C24,Staffelprijzen!D5:D24)+SUMPRODUCT(Staffelprijzen!F5:F26,Staffelprijzen!G5:G26)</f>
        <v>0</v>
      </c>
      <c r="E32" s="351" t="s">
        <v>707</v>
      </c>
      <c r="F32" s="352"/>
    </row>
    <row r="33" spans="2:6" x14ac:dyDescent="0.2">
      <c r="B33" s="353"/>
      <c r="C33" s="354"/>
      <c r="D33" s="354"/>
      <c r="E33" s="354"/>
      <c r="F33" s="357"/>
    </row>
    <row r="34" spans="2:6" x14ac:dyDescent="0.2">
      <c r="B34" s="358" t="s">
        <v>699</v>
      </c>
      <c r="C34" s="359"/>
      <c r="D34" s="360">
        <f ca="1">SUM(D22:D33)</f>
        <v>0</v>
      </c>
      <c r="E34" s="361" t="s">
        <v>708</v>
      </c>
      <c r="F34" s="352"/>
    </row>
    <row r="35" spans="2:6" ht="12.75" thickBot="1" x14ac:dyDescent="0.25">
      <c r="B35" s="362"/>
      <c r="C35" s="363"/>
      <c r="D35" s="363"/>
      <c r="E35" s="363"/>
      <c r="F35" s="364"/>
    </row>
    <row r="39" spans="2:6" x14ac:dyDescent="0.2">
      <c r="B39" s="344" t="s">
        <v>709</v>
      </c>
    </row>
    <row r="40" spans="2:6" ht="12.75" thickBot="1" x14ac:dyDescent="0.25"/>
    <row r="41" spans="2:6" ht="36" customHeight="1" x14ac:dyDescent="0.2">
      <c r="B41" s="365" t="s">
        <v>710</v>
      </c>
      <c r="C41" s="599" t="str">
        <f>IF(D4="","",D4)</f>
        <v/>
      </c>
      <c r="D41" s="600"/>
      <c r="E41" s="366" t="s">
        <v>711</v>
      </c>
      <c r="F41" s="375" t="str">
        <f>IF(D6="","",D6)</f>
        <v/>
      </c>
    </row>
    <row r="42" spans="2:6" ht="36" customHeight="1" x14ac:dyDescent="0.2">
      <c r="B42" s="367" t="s">
        <v>712</v>
      </c>
      <c r="C42" s="601" t="str">
        <f>IF(C8="","",C8)</f>
        <v/>
      </c>
      <c r="D42" s="602"/>
      <c r="E42" s="368" t="s">
        <v>713</v>
      </c>
      <c r="F42" s="376">
        <f ca="1">NOW()</f>
        <v>44693.880467939816</v>
      </c>
    </row>
    <row r="43" spans="2:6" s="371" customFormat="1" ht="72" customHeight="1" thickBot="1" x14ac:dyDescent="0.3">
      <c r="B43" s="369" t="s">
        <v>692</v>
      </c>
      <c r="C43" s="374" t="str">
        <f>IF(F8="","",F8)</f>
        <v/>
      </c>
      <c r="D43" s="370" t="s">
        <v>714</v>
      </c>
      <c r="E43" s="595"/>
      <c r="F43" s="596"/>
    </row>
    <row r="58" spans="1:1" ht="15" x14ac:dyDescent="0.25">
      <c r="A58" s="372"/>
    </row>
  </sheetData>
  <sheetProtection algorithmName="SHA-512" hashValue="v4RkloC5oxGtiWsZN4hLEB0JbJCWu7boFAMfXLDm+Jp/7hNJre0GBDvHhavjMm0Df3wKu4kpEarrHUi0N9lBVQ==" saltValue="6ZQW6sskTjCaKCOLu6ECtQ==" spinCount="100000" sheet="1" objects="1" scenarios="1"/>
  <mergeCells count="9">
    <mergeCell ref="E43:F43"/>
    <mergeCell ref="C8:D8"/>
    <mergeCell ref="D6:F6"/>
    <mergeCell ref="D4:F4"/>
    <mergeCell ref="B2:F2"/>
    <mergeCell ref="B11:F13"/>
    <mergeCell ref="B16:F18"/>
    <mergeCell ref="C41:D41"/>
    <mergeCell ref="C42:D42"/>
  </mergeCells>
  <conditionalFormatting sqref="D4">
    <cfRule type="expression" dxfId="3" priority="4">
      <formula>$D4&lt;&gt;""</formula>
    </cfRule>
  </conditionalFormatting>
  <conditionalFormatting sqref="D6">
    <cfRule type="expression" dxfId="2" priority="3">
      <formula>$D6&lt;&gt;""</formula>
    </cfRule>
  </conditionalFormatting>
  <conditionalFormatting sqref="C8">
    <cfRule type="expression" dxfId="1" priority="2">
      <formula>$C8&lt;&gt;""</formula>
    </cfRule>
  </conditionalFormatting>
  <conditionalFormatting sqref="F8">
    <cfRule type="notContainsBlanks" dxfId="0" priority="1">
      <formula>LEN(TRIM(F8))&gt;0</formula>
    </cfRule>
  </conditionalFormatting>
  <printOptions horizontalCentered="1" verticalCentered="1"/>
  <pageMargins left="0.70866141732283472" right="0.70866141732283472" top="0.74803149606299213" bottom="0.74803149606299213" header="0.31496062992125984" footer="0.31496062992125984"/>
  <pageSetup paperSize="9" scale="77" fitToHeight="0" orientation="portrait" horizontalDpi="0" verticalDpi="0" r:id="rId1"/>
  <headerFooter>
    <oddHeader>&amp;L&amp;9&amp;K04-048Inschrijfbiljet&amp;R&amp;G</oddHeader>
    <oddFooter>&amp;L&amp;9&amp;K04-049Offerteaanvraag EU Openbare aanbesteding Schoonmaakonderhoud&amp;C&amp;9&amp;K04-049 8 april 2022&amp;R&amp;9&amp;K04-049Blad &amp;P van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4B165-7C9E-40C8-9F0A-58A208B2E217}">
  <sheetPr codeName="Blad10">
    <pageSetUpPr fitToPage="1"/>
  </sheetPr>
  <dimension ref="B3:I107"/>
  <sheetViews>
    <sheetView workbookViewId="0">
      <pane ySplit="3" topLeftCell="A75" activePane="bottomLeft" state="frozen"/>
      <selection activeCell="A6" sqref="A6"/>
      <selection pane="bottomLeft" activeCell="B3" sqref="B3:I107"/>
    </sheetView>
  </sheetViews>
  <sheetFormatPr defaultColWidth="9.140625" defaultRowHeight="12" x14ac:dyDescent="0.2"/>
  <cols>
    <col min="1" max="1" width="9.140625" style="7"/>
    <col min="2" max="2" width="44.7109375" style="7" bestFit="1" customWidth="1"/>
    <col min="3" max="3" width="45.85546875" style="7" bestFit="1" customWidth="1"/>
    <col min="4" max="9" width="9.140625" style="84"/>
    <col min="10" max="16384" width="9.140625" style="7"/>
  </cols>
  <sheetData>
    <row r="3" spans="2:9" ht="12.75" thickBot="1" x14ac:dyDescent="0.25">
      <c r="B3" s="433" t="s">
        <v>451</v>
      </c>
      <c r="C3" s="434" t="s">
        <v>388</v>
      </c>
      <c r="D3" s="435" t="s">
        <v>751</v>
      </c>
      <c r="E3" s="436" t="s">
        <v>752</v>
      </c>
      <c r="F3" s="437" t="s">
        <v>753</v>
      </c>
      <c r="G3" s="437" t="s">
        <v>754</v>
      </c>
      <c r="H3" s="437" t="s">
        <v>755</v>
      </c>
      <c r="I3" s="438" t="s">
        <v>756</v>
      </c>
    </row>
    <row r="4" spans="2:9" x14ac:dyDescent="0.2">
      <c r="B4" s="425" t="s">
        <v>489</v>
      </c>
      <c r="C4" s="419" t="s">
        <v>490</v>
      </c>
      <c r="D4" s="420">
        <v>203</v>
      </c>
      <c r="E4" s="421">
        <v>152</v>
      </c>
      <c r="F4" s="421">
        <v>104</v>
      </c>
      <c r="G4" s="421">
        <v>52</v>
      </c>
      <c r="H4" s="421"/>
      <c r="I4" s="429"/>
    </row>
    <row r="5" spans="2:9" x14ac:dyDescent="0.2">
      <c r="B5" s="426" t="s">
        <v>489</v>
      </c>
      <c r="C5" s="79" t="s">
        <v>491</v>
      </c>
      <c r="D5" s="80">
        <v>52</v>
      </c>
      <c r="E5" s="81">
        <v>52</v>
      </c>
      <c r="F5" s="81">
        <v>52</v>
      </c>
      <c r="G5" s="81">
        <v>52</v>
      </c>
      <c r="H5" s="81">
        <v>52</v>
      </c>
      <c r="I5" s="430">
        <v>4</v>
      </c>
    </row>
    <row r="6" spans="2:9" x14ac:dyDescent="0.2">
      <c r="B6" s="426" t="s">
        <v>488</v>
      </c>
      <c r="C6" s="79" t="s">
        <v>463</v>
      </c>
      <c r="D6" s="80">
        <v>203</v>
      </c>
      <c r="E6" s="81">
        <v>152</v>
      </c>
      <c r="F6" s="81">
        <v>104</v>
      </c>
      <c r="G6" s="81">
        <v>52</v>
      </c>
      <c r="H6" s="81"/>
      <c r="I6" s="430"/>
    </row>
    <row r="7" spans="2:9" x14ac:dyDescent="0.2">
      <c r="B7" s="426" t="s">
        <v>488</v>
      </c>
      <c r="C7" s="79" t="s">
        <v>452</v>
      </c>
      <c r="D7" s="80">
        <v>52</v>
      </c>
      <c r="E7" s="81">
        <v>52</v>
      </c>
      <c r="F7" s="81">
        <v>52</v>
      </c>
      <c r="G7" s="81">
        <v>52</v>
      </c>
      <c r="H7" s="81">
        <v>52</v>
      </c>
      <c r="I7" s="430">
        <v>4</v>
      </c>
    </row>
    <row r="8" spans="2:9" x14ac:dyDescent="0.2">
      <c r="B8" s="426" t="s">
        <v>462</v>
      </c>
      <c r="C8" s="79" t="s">
        <v>463</v>
      </c>
      <c r="D8" s="80">
        <v>243</v>
      </c>
      <c r="E8" s="81">
        <v>192</v>
      </c>
      <c r="F8" s="81">
        <v>144</v>
      </c>
      <c r="G8" s="81">
        <v>92</v>
      </c>
      <c r="H8" s="81">
        <v>46</v>
      </c>
      <c r="I8" s="430"/>
    </row>
    <row r="9" spans="2:9" x14ac:dyDescent="0.2">
      <c r="B9" s="426" t="s">
        <v>462</v>
      </c>
      <c r="C9" s="79" t="s">
        <v>464</v>
      </c>
      <c r="D9" s="80">
        <v>12</v>
      </c>
      <c r="E9" s="81">
        <v>12</v>
      </c>
      <c r="F9" s="81">
        <v>12</v>
      </c>
      <c r="G9" s="81">
        <v>12</v>
      </c>
      <c r="H9" s="81">
        <v>6</v>
      </c>
      <c r="I9" s="430">
        <v>4</v>
      </c>
    </row>
    <row r="10" spans="2:9" x14ac:dyDescent="0.2">
      <c r="B10" s="426" t="s">
        <v>494</v>
      </c>
      <c r="C10" s="79" t="s">
        <v>427</v>
      </c>
      <c r="D10" s="80">
        <v>255</v>
      </c>
      <c r="E10" s="81">
        <v>204</v>
      </c>
      <c r="F10" s="81">
        <v>156</v>
      </c>
      <c r="G10" s="81">
        <v>104</v>
      </c>
      <c r="H10" s="81">
        <v>52</v>
      </c>
      <c r="I10" s="430">
        <v>4</v>
      </c>
    </row>
    <row r="11" spans="2:9" x14ac:dyDescent="0.2">
      <c r="B11" s="426" t="s">
        <v>494</v>
      </c>
      <c r="C11" s="79" t="s">
        <v>428</v>
      </c>
      <c r="D11" s="80">
        <v>203</v>
      </c>
      <c r="E11" s="81">
        <v>152</v>
      </c>
      <c r="F11" s="81">
        <v>104</v>
      </c>
      <c r="G11" s="81">
        <v>92</v>
      </c>
      <c r="H11" s="81">
        <v>46</v>
      </c>
      <c r="I11" s="430"/>
    </row>
    <row r="12" spans="2:9" x14ac:dyDescent="0.2">
      <c r="B12" s="426" t="s">
        <v>494</v>
      </c>
      <c r="C12" s="79" t="s">
        <v>429</v>
      </c>
      <c r="D12" s="80">
        <v>52</v>
      </c>
      <c r="E12" s="81">
        <v>52</v>
      </c>
      <c r="F12" s="81">
        <v>52</v>
      </c>
      <c r="G12" s="81">
        <v>12</v>
      </c>
      <c r="H12" s="81">
        <v>6</v>
      </c>
      <c r="I12" s="430">
        <v>4</v>
      </c>
    </row>
    <row r="13" spans="2:9" x14ac:dyDescent="0.2">
      <c r="B13" s="426" t="s">
        <v>720</v>
      </c>
      <c r="C13" s="79" t="s">
        <v>428</v>
      </c>
      <c r="D13" s="80">
        <v>203</v>
      </c>
      <c r="E13" s="81">
        <v>152</v>
      </c>
      <c r="F13" s="81">
        <v>104</v>
      </c>
      <c r="G13" s="81">
        <v>52</v>
      </c>
      <c r="H13" s="81"/>
      <c r="I13" s="430"/>
    </row>
    <row r="14" spans="2:9" x14ac:dyDescent="0.2">
      <c r="B14" s="426" t="s">
        <v>720</v>
      </c>
      <c r="C14" s="79" t="s">
        <v>452</v>
      </c>
      <c r="D14" s="80">
        <v>52</v>
      </c>
      <c r="E14" s="81">
        <v>52</v>
      </c>
      <c r="F14" s="81">
        <v>52</v>
      </c>
      <c r="G14" s="81">
        <v>52</v>
      </c>
      <c r="H14" s="81">
        <v>52</v>
      </c>
      <c r="I14" s="430">
        <v>4</v>
      </c>
    </row>
    <row r="15" spans="2:9" x14ac:dyDescent="0.2">
      <c r="B15" s="426" t="s">
        <v>469</v>
      </c>
      <c r="C15" s="79" t="s">
        <v>470</v>
      </c>
      <c r="D15" s="80">
        <v>255</v>
      </c>
      <c r="E15" s="81">
        <v>204</v>
      </c>
      <c r="F15" s="81">
        <v>156</v>
      </c>
      <c r="G15" s="81">
        <v>104</v>
      </c>
      <c r="H15" s="81">
        <v>52</v>
      </c>
      <c r="I15" s="430">
        <v>4</v>
      </c>
    </row>
    <row r="16" spans="2:9" x14ac:dyDescent="0.2">
      <c r="B16" s="426" t="s">
        <v>453</v>
      </c>
      <c r="C16" s="79" t="s">
        <v>441</v>
      </c>
      <c r="D16" s="80">
        <v>255</v>
      </c>
      <c r="E16" s="81">
        <v>204</v>
      </c>
      <c r="F16" s="81">
        <v>156</v>
      </c>
      <c r="G16" s="81">
        <v>104</v>
      </c>
      <c r="H16" s="81">
        <v>52</v>
      </c>
      <c r="I16" s="430">
        <v>4</v>
      </c>
    </row>
    <row r="17" spans="2:9" x14ac:dyDescent="0.2">
      <c r="B17" s="426" t="s">
        <v>430</v>
      </c>
      <c r="C17" s="79" t="s">
        <v>428</v>
      </c>
      <c r="D17" s="80">
        <v>203</v>
      </c>
      <c r="E17" s="81">
        <v>152</v>
      </c>
      <c r="F17" s="81">
        <v>104</v>
      </c>
      <c r="G17" s="81">
        <v>92</v>
      </c>
      <c r="H17" s="81">
        <v>40</v>
      </c>
      <c r="I17" s="430"/>
    </row>
    <row r="18" spans="2:9" x14ac:dyDescent="0.2">
      <c r="B18" s="426" t="s">
        <v>430</v>
      </c>
      <c r="C18" s="79" t="s">
        <v>431</v>
      </c>
      <c r="D18" s="80">
        <v>52</v>
      </c>
      <c r="E18" s="81">
        <v>52</v>
      </c>
      <c r="F18" s="81">
        <v>52</v>
      </c>
      <c r="G18" s="81">
        <v>12</v>
      </c>
      <c r="H18" s="81">
        <v>12</v>
      </c>
      <c r="I18" s="430">
        <v>4</v>
      </c>
    </row>
    <row r="19" spans="2:9" x14ac:dyDescent="0.2">
      <c r="B19" s="426" t="s">
        <v>471</v>
      </c>
      <c r="C19" s="79" t="s">
        <v>472</v>
      </c>
      <c r="D19" s="80">
        <v>203</v>
      </c>
      <c r="E19" s="81">
        <v>152</v>
      </c>
      <c r="F19" s="81">
        <v>104</v>
      </c>
      <c r="G19" s="81">
        <v>52</v>
      </c>
      <c r="H19" s="81">
        <v>40</v>
      </c>
      <c r="I19" s="430"/>
    </row>
    <row r="20" spans="2:9" x14ac:dyDescent="0.2">
      <c r="B20" s="426" t="s">
        <v>471</v>
      </c>
      <c r="C20" s="79" t="s">
        <v>429</v>
      </c>
      <c r="D20" s="80">
        <v>52</v>
      </c>
      <c r="E20" s="81">
        <v>52</v>
      </c>
      <c r="F20" s="81">
        <v>52</v>
      </c>
      <c r="G20" s="81">
        <v>52</v>
      </c>
      <c r="H20" s="81">
        <v>12</v>
      </c>
      <c r="I20" s="430">
        <v>4</v>
      </c>
    </row>
    <row r="21" spans="2:9" x14ac:dyDescent="0.2">
      <c r="B21" s="426" t="s">
        <v>492</v>
      </c>
      <c r="C21" s="79" t="s">
        <v>490</v>
      </c>
      <c r="D21" s="80">
        <v>203</v>
      </c>
      <c r="E21" s="81">
        <v>152</v>
      </c>
      <c r="F21" s="81">
        <v>104</v>
      </c>
      <c r="G21" s="81">
        <v>52</v>
      </c>
      <c r="H21" s="81"/>
      <c r="I21" s="430"/>
    </row>
    <row r="22" spans="2:9" x14ac:dyDescent="0.2">
      <c r="B22" s="426" t="s">
        <v>492</v>
      </c>
      <c r="C22" s="79" t="s">
        <v>491</v>
      </c>
      <c r="D22" s="80">
        <v>52</v>
      </c>
      <c r="E22" s="81">
        <v>52</v>
      </c>
      <c r="F22" s="81">
        <v>52</v>
      </c>
      <c r="G22" s="81">
        <v>52</v>
      </c>
      <c r="H22" s="81">
        <v>52</v>
      </c>
      <c r="I22" s="430">
        <v>4</v>
      </c>
    </row>
    <row r="23" spans="2:9" x14ac:dyDescent="0.2">
      <c r="B23" s="426" t="s">
        <v>493</v>
      </c>
      <c r="C23" s="79" t="s">
        <v>490</v>
      </c>
      <c r="D23" s="80">
        <v>203</v>
      </c>
      <c r="E23" s="81">
        <v>152</v>
      </c>
      <c r="F23" s="81">
        <v>104</v>
      </c>
      <c r="G23" s="81">
        <v>52</v>
      </c>
      <c r="H23" s="81"/>
      <c r="I23" s="430"/>
    </row>
    <row r="24" spans="2:9" x14ac:dyDescent="0.2">
      <c r="B24" s="426" t="s">
        <v>493</v>
      </c>
      <c r="C24" s="79" t="s">
        <v>491</v>
      </c>
      <c r="D24" s="80">
        <v>52</v>
      </c>
      <c r="E24" s="81">
        <v>52</v>
      </c>
      <c r="F24" s="81">
        <v>52</v>
      </c>
      <c r="G24" s="81">
        <v>52</v>
      </c>
      <c r="H24" s="81">
        <v>52</v>
      </c>
      <c r="I24" s="430">
        <v>4</v>
      </c>
    </row>
    <row r="25" spans="2:9" x14ac:dyDescent="0.2">
      <c r="B25" s="426" t="s">
        <v>485</v>
      </c>
      <c r="C25" s="79" t="s">
        <v>428</v>
      </c>
      <c r="D25" s="80">
        <v>52</v>
      </c>
      <c r="E25" s="81">
        <v>52</v>
      </c>
      <c r="F25" s="81">
        <v>52</v>
      </c>
      <c r="G25" s="81">
        <v>12</v>
      </c>
      <c r="H25" s="81">
        <v>12</v>
      </c>
      <c r="I25" s="430">
        <v>4</v>
      </c>
    </row>
    <row r="26" spans="2:9" x14ac:dyDescent="0.2">
      <c r="B26" s="426" t="s">
        <v>432</v>
      </c>
      <c r="C26" s="79" t="s">
        <v>428</v>
      </c>
      <c r="D26" s="80">
        <v>243</v>
      </c>
      <c r="E26" s="81">
        <v>192</v>
      </c>
      <c r="F26" s="81">
        <v>144</v>
      </c>
      <c r="G26" s="81">
        <v>92</v>
      </c>
      <c r="H26" s="81">
        <v>46</v>
      </c>
      <c r="I26" s="430"/>
    </row>
    <row r="27" spans="2:9" x14ac:dyDescent="0.2">
      <c r="B27" s="426" t="s">
        <v>432</v>
      </c>
      <c r="C27" s="79" t="s">
        <v>433</v>
      </c>
      <c r="D27" s="80">
        <v>243</v>
      </c>
      <c r="E27" s="81">
        <v>192</v>
      </c>
      <c r="F27" s="81">
        <v>144</v>
      </c>
      <c r="G27" s="81">
        <v>92</v>
      </c>
      <c r="H27" s="81">
        <v>46</v>
      </c>
      <c r="I27" s="430"/>
    </row>
    <row r="28" spans="2:9" x14ac:dyDescent="0.2">
      <c r="B28" s="426" t="s">
        <v>432</v>
      </c>
      <c r="C28" s="79" t="s">
        <v>429</v>
      </c>
      <c r="D28" s="80">
        <v>12</v>
      </c>
      <c r="E28" s="81">
        <v>12</v>
      </c>
      <c r="F28" s="81">
        <v>12</v>
      </c>
      <c r="G28" s="81">
        <v>12</v>
      </c>
      <c r="H28" s="81">
        <v>6</v>
      </c>
      <c r="I28" s="430">
        <v>4</v>
      </c>
    </row>
    <row r="29" spans="2:9" x14ac:dyDescent="0.2">
      <c r="B29" s="426" t="s">
        <v>434</v>
      </c>
      <c r="C29" s="79" t="s">
        <v>435</v>
      </c>
      <c r="D29" s="80">
        <v>203</v>
      </c>
      <c r="E29" s="81">
        <v>152</v>
      </c>
      <c r="F29" s="81">
        <v>104</v>
      </c>
      <c r="G29" s="81">
        <v>98</v>
      </c>
      <c r="H29" s="81">
        <v>46</v>
      </c>
      <c r="I29" s="430"/>
    </row>
    <row r="30" spans="2:9" x14ac:dyDescent="0.2">
      <c r="B30" s="426" t="s">
        <v>434</v>
      </c>
      <c r="C30" s="79" t="s">
        <v>429</v>
      </c>
      <c r="D30" s="80">
        <v>52</v>
      </c>
      <c r="E30" s="81">
        <v>52</v>
      </c>
      <c r="F30" s="81">
        <v>52</v>
      </c>
      <c r="G30" s="81">
        <v>12</v>
      </c>
      <c r="H30" s="81">
        <v>12</v>
      </c>
      <c r="I30" s="430">
        <v>4</v>
      </c>
    </row>
    <row r="31" spans="2:9" x14ac:dyDescent="0.2">
      <c r="B31" s="426" t="s">
        <v>473</v>
      </c>
      <c r="C31" s="79" t="s">
        <v>441</v>
      </c>
      <c r="D31" s="80">
        <v>255</v>
      </c>
      <c r="E31" s="81">
        <v>204</v>
      </c>
      <c r="F31" s="81">
        <v>156</v>
      </c>
      <c r="G31" s="81">
        <v>104</v>
      </c>
      <c r="H31" s="81">
        <v>52</v>
      </c>
      <c r="I31" s="430">
        <v>4</v>
      </c>
    </row>
    <row r="32" spans="2:9" x14ac:dyDescent="0.2">
      <c r="B32" s="426" t="s">
        <v>730</v>
      </c>
      <c r="C32" s="79" t="s">
        <v>490</v>
      </c>
      <c r="D32" s="80">
        <v>203</v>
      </c>
      <c r="E32" s="81">
        <v>152</v>
      </c>
      <c r="F32" s="81">
        <v>104</v>
      </c>
      <c r="G32" s="81">
        <v>52</v>
      </c>
      <c r="H32" s="81"/>
      <c r="I32" s="430"/>
    </row>
    <row r="33" spans="2:9" x14ac:dyDescent="0.2">
      <c r="B33" s="426" t="s">
        <v>730</v>
      </c>
      <c r="C33" s="79" t="s">
        <v>732</v>
      </c>
      <c r="D33" s="80">
        <v>52</v>
      </c>
      <c r="E33" s="81">
        <v>52</v>
      </c>
      <c r="F33" s="81">
        <v>52</v>
      </c>
      <c r="G33" s="81">
        <v>52</v>
      </c>
      <c r="H33" s="81">
        <v>52</v>
      </c>
      <c r="I33" s="430">
        <v>4</v>
      </c>
    </row>
    <row r="34" spans="2:9" x14ac:dyDescent="0.2">
      <c r="B34" s="426" t="s">
        <v>731</v>
      </c>
      <c r="C34" s="79" t="s">
        <v>733</v>
      </c>
      <c r="D34" s="80">
        <v>203</v>
      </c>
      <c r="E34" s="81">
        <v>152</v>
      </c>
      <c r="F34" s="81">
        <v>104</v>
      </c>
      <c r="G34" s="81">
        <v>52</v>
      </c>
      <c r="H34" s="81"/>
      <c r="I34" s="430"/>
    </row>
    <row r="35" spans="2:9" x14ac:dyDescent="0.2">
      <c r="B35" s="426" t="s">
        <v>731</v>
      </c>
      <c r="C35" s="79" t="s">
        <v>736</v>
      </c>
      <c r="D35" s="80">
        <v>40</v>
      </c>
      <c r="E35" s="81">
        <v>40</v>
      </c>
      <c r="F35" s="81">
        <v>40</v>
      </c>
      <c r="G35" s="81">
        <v>40</v>
      </c>
      <c r="H35" s="81">
        <v>40</v>
      </c>
      <c r="I35" s="430"/>
    </row>
    <row r="36" spans="2:9" x14ac:dyDescent="0.2">
      <c r="B36" s="426" t="s">
        <v>731</v>
      </c>
      <c r="C36" s="79" t="s">
        <v>737</v>
      </c>
      <c r="D36" s="80">
        <v>12</v>
      </c>
      <c r="E36" s="81">
        <v>12</v>
      </c>
      <c r="F36" s="81">
        <v>12</v>
      </c>
      <c r="G36" s="81">
        <v>12</v>
      </c>
      <c r="H36" s="81">
        <v>12</v>
      </c>
      <c r="I36" s="430">
        <v>4</v>
      </c>
    </row>
    <row r="37" spans="2:9" x14ac:dyDescent="0.2">
      <c r="B37" s="426" t="s">
        <v>454</v>
      </c>
      <c r="C37" s="79" t="s">
        <v>439</v>
      </c>
      <c r="D37" s="80">
        <v>52</v>
      </c>
      <c r="E37" s="81">
        <v>52</v>
      </c>
      <c r="F37" s="81">
        <v>52</v>
      </c>
      <c r="G37" s="81">
        <v>12</v>
      </c>
      <c r="H37" s="81">
        <v>6</v>
      </c>
      <c r="I37" s="430">
        <v>4</v>
      </c>
    </row>
    <row r="38" spans="2:9" x14ac:dyDescent="0.2">
      <c r="B38" s="426" t="s">
        <v>455</v>
      </c>
      <c r="C38" s="79" t="s">
        <v>456</v>
      </c>
      <c r="D38" s="80">
        <v>52</v>
      </c>
      <c r="E38" s="81">
        <v>52</v>
      </c>
      <c r="F38" s="81">
        <v>52</v>
      </c>
      <c r="G38" s="81">
        <v>12</v>
      </c>
      <c r="H38" s="81">
        <v>12</v>
      </c>
      <c r="I38" s="430">
        <v>4</v>
      </c>
    </row>
    <row r="39" spans="2:9" x14ac:dyDescent="0.2">
      <c r="B39" s="426" t="s">
        <v>474</v>
      </c>
      <c r="C39" s="79" t="s">
        <v>429</v>
      </c>
      <c r="D39" s="80">
        <v>52</v>
      </c>
      <c r="E39" s="81">
        <v>52</v>
      </c>
      <c r="F39" s="81">
        <v>52</v>
      </c>
      <c r="G39" s="81">
        <v>52</v>
      </c>
      <c r="H39" s="81">
        <v>52</v>
      </c>
      <c r="I39" s="430">
        <v>4</v>
      </c>
    </row>
    <row r="40" spans="2:9" x14ac:dyDescent="0.2">
      <c r="B40" s="427" t="s">
        <v>721</v>
      </c>
      <c r="C40" s="79" t="s">
        <v>467</v>
      </c>
      <c r="D40" s="80">
        <v>255</v>
      </c>
      <c r="E40" s="81">
        <v>204</v>
      </c>
      <c r="F40" s="81">
        <v>156</v>
      </c>
      <c r="G40" s="81">
        <v>104</v>
      </c>
      <c r="H40" s="81">
        <v>52</v>
      </c>
      <c r="I40" s="430">
        <v>4</v>
      </c>
    </row>
    <row r="41" spans="2:9" x14ac:dyDescent="0.2">
      <c r="B41" s="427" t="s">
        <v>721</v>
      </c>
      <c r="C41" s="79" t="s">
        <v>452</v>
      </c>
      <c r="D41" s="80">
        <v>255</v>
      </c>
      <c r="E41" s="81">
        <v>204</v>
      </c>
      <c r="F41" s="81">
        <v>156</v>
      </c>
      <c r="G41" s="81">
        <v>104</v>
      </c>
      <c r="H41" s="81">
        <v>52</v>
      </c>
      <c r="I41" s="430">
        <v>4</v>
      </c>
    </row>
    <row r="42" spans="2:9" x14ac:dyDescent="0.2">
      <c r="B42" s="427" t="s">
        <v>722</v>
      </c>
      <c r="C42" s="55" t="s">
        <v>734</v>
      </c>
      <c r="D42" s="80">
        <v>255</v>
      </c>
      <c r="E42" s="81">
        <v>204</v>
      </c>
      <c r="F42" s="81">
        <v>156</v>
      </c>
      <c r="G42" s="81">
        <v>104</v>
      </c>
      <c r="H42" s="81">
        <v>52</v>
      </c>
      <c r="I42" s="430">
        <v>4</v>
      </c>
    </row>
    <row r="43" spans="2:9" x14ac:dyDescent="0.2">
      <c r="B43" s="426" t="s">
        <v>436</v>
      </c>
      <c r="C43" s="79" t="s">
        <v>429</v>
      </c>
      <c r="D43" s="80">
        <v>52</v>
      </c>
      <c r="E43" s="81">
        <v>52</v>
      </c>
      <c r="F43" s="81">
        <v>52</v>
      </c>
      <c r="G43" s="81">
        <v>52</v>
      </c>
      <c r="H43" s="81">
        <v>52</v>
      </c>
      <c r="I43" s="430">
        <v>4</v>
      </c>
    </row>
    <row r="44" spans="2:9" x14ac:dyDescent="0.2">
      <c r="B44" s="426" t="s">
        <v>437</v>
      </c>
      <c r="C44" s="8" t="s">
        <v>738</v>
      </c>
      <c r="D44" s="82">
        <v>251</v>
      </c>
      <c r="E44" s="83">
        <v>200</v>
      </c>
      <c r="F44" s="83">
        <v>152</v>
      </c>
      <c r="G44" s="83">
        <v>100</v>
      </c>
      <c r="H44" s="83">
        <v>50</v>
      </c>
      <c r="I44" s="431"/>
    </row>
    <row r="45" spans="2:9" x14ac:dyDescent="0.2">
      <c r="B45" s="426" t="s">
        <v>437</v>
      </c>
      <c r="C45" s="8" t="s">
        <v>739</v>
      </c>
      <c r="D45" s="82">
        <v>40</v>
      </c>
      <c r="E45" s="83">
        <v>40</v>
      </c>
      <c r="F45" s="83">
        <v>40</v>
      </c>
      <c r="G45" s="83">
        <v>40</v>
      </c>
      <c r="H45" s="83">
        <v>40</v>
      </c>
      <c r="I45" s="431"/>
    </row>
    <row r="46" spans="2:9" x14ac:dyDescent="0.2">
      <c r="B46" s="426" t="s">
        <v>438</v>
      </c>
      <c r="C46" s="79" t="s">
        <v>439</v>
      </c>
      <c r="D46" s="82">
        <v>8</v>
      </c>
      <c r="E46" s="83">
        <v>8</v>
      </c>
      <c r="F46" s="83">
        <v>8</v>
      </c>
      <c r="G46" s="83">
        <v>8</v>
      </c>
      <c r="H46" s="83">
        <v>4</v>
      </c>
      <c r="I46" s="431"/>
    </row>
    <row r="47" spans="2:9" x14ac:dyDescent="0.2">
      <c r="B47" s="426" t="s">
        <v>437</v>
      </c>
      <c r="C47" s="79" t="s">
        <v>429</v>
      </c>
      <c r="D47" s="82">
        <v>4</v>
      </c>
      <c r="E47" s="83">
        <v>4</v>
      </c>
      <c r="F47" s="83">
        <v>4</v>
      </c>
      <c r="G47" s="83">
        <v>4</v>
      </c>
      <c r="H47" s="83">
        <v>2</v>
      </c>
      <c r="I47" s="431">
        <v>4</v>
      </c>
    </row>
    <row r="48" spans="2:9" x14ac:dyDescent="0.2">
      <c r="B48" s="426" t="s">
        <v>440</v>
      </c>
      <c r="C48" s="79" t="s">
        <v>740</v>
      </c>
      <c r="D48" s="82">
        <v>251</v>
      </c>
      <c r="E48" s="83">
        <v>200</v>
      </c>
      <c r="F48" s="83">
        <v>152</v>
      </c>
      <c r="G48" s="83">
        <v>100</v>
      </c>
      <c r="H48" s="83">
        <v>50</v>
      </c>
      <c r="I48" s="430"/>
    </row>
    <row r="49" spans="2:9" x14ac:dyDescent="0.2">
      <c r="B49" s="426" t="s">
        <v>440</v>
      </c>
      <c r="C49" s="79" t="s">
        <v>429</v>
      </c>
      <c r="D49" s="82">
        <v>4</v>
      </c>
      <c r="E49" s="83">
        <v>4</v>
      </c>
      <c r="F49" s="83">
        <v>4</v>
      </c>
      <c r="G49" s="83">
        <v>4</v>
      </c>
      <c r="H49" s="83">
        <v>2</v>
      </c>
      <c r="I49" s="430">
        <v>4</v>
      </c>
    </row>
    <row r="50" spans="2:9" x14ac:dyDescent="0.2">
      <c r="B50" s="426" t="s">
        <v>727</v>
      </c>
      <c r="C50" s="79" t="s">
        <v>441</v>
      </c>
      <c r="D50" s="80">
        <v>52</v>
      </c>
      <c r="E50" s="81">
        <v>52</v>
      </c>
      <c r="F50" s="81">
        <v>12</v>
      </c>
      <c r="G50" s="81">
        <v>12</v>
      </c>
      <c r="H50" s="81">
        <v>12</v>
      </c>
      <c r="I50" s="430">
        <v>4</v>
      </c>
    </row>
    <row r="51" spans="2:9" x14ac:dyDescent="0.2">
      <c r="B51" s="426" t="s">
        <v>475</v>
      </c>
      <c r="C51" s="8" t="s">
        <v>738</v>
      </c>
      <c r="D51" s="82">
        <v>251</v>
      </c>
      <c r="E51" s="83">
        <v>200</v>
      </c>
      <c r="F51" s="83">
        <v>152</v>
      </c>
      <c r="G51" s="83">
        <v>100</v>
      </c>
      <c r="H51" s="83">
        <v>50</v>
      </c>
      <c r="I51" s="431"/>
    </row>
    <row r="52" spans="2:9" x14ac:dyDescent="0.2">
      <c r="B52" s="426" t="s">
        <v>475</v>
      </c>
      <c r="C52" s="8" t="s">
        <v>739</v>
      </c>
      <c r="D52" s="82">
        <v>40</v>
      </c>
      <c r="E52" s="83">
        <v>40</v>
      </c>
      <c r="F52" s="83">
        <v>40</v>
      </c>
      <c r="G52" s="83">
        <v>40</v>
      </c>
      <c r="H52" s="83">
        <v>40</v>
      </c>
      <c r="I52" s="431"/>
    </row>
    <row r="53" spans="2:9" x14ac:dyDescent="0.2">
      <c r="B53" s="426" t="s">
        <v>475</v>
      </c>
      <c r="C53" s="79" t="s">
        <v>439</v>
      </c>
      <c r="D53" s="82">
        <v>8</v>
      </c>
      <c r="E53" s="83">
        <v>8</v>
      </c>
      <c r="F53" s="83">
        <v>8</v>
      </c>
      <c r="G53" s="83">
        <v>8</v>
      </c>
      <c r="H53" s="83">
        <v>4</v>
      </c>
      <c r="I53" s="431"/>
    </row>
    <row r="54" spans="2:9" x14ac:dyDescent="0.2">
      <c r="B54" s="426" t="s">
        <v>475</v>
      </c>
      <c r="C54" s="79" t="s">
        <v>429</v>
      </c>
      <c r="D54" s="82">
        <v>4</v>
      </c>
      <c r="E54" s="83">
        <v>4</v>
      </c>
      <c r="F54" s="83">
        <v>4</v>
      </c>
      <c r="G54" s="83">
        <v>4</v>
      </c>
      <c r="H54" s="83">
        <v>2</v>
      </c>
      <c r="I54" s="431">
        <v>4</v>
      </c>
    </row>
    <row r="55" spans="2:9" x14ac:dyDescent="0.2">
      <c r="B55" s="426" t="s">
        <v>476</v>
      </c>
      <c r="C55" s="79" t="s">
        <v>441</v>
      </c>
      <c r="D55" s="80">
        <v>52</v>
      </c>
      <c r="E55" s="81">
        <v>52</v>
      </c>
      <c r="F55" s="81">
        <v>52</v>
      </c>
      <c r="G55" s="81">
        <v>12</v>
      </c>
      <c r="H55" s="81">
        <v>12</v>
      </c>
      <c r="I55" s="430">
        <v>4</v>
      </c>
    </row>
    <row r="56" spans="2:9" x14ac:dyDescent="0.2">
      <c r="B56" s="426" t="s">
        <v>442</v>
      </c>
      <c r="C56" s="79" t="s">
        <v>443</v>
      </c>
      <c r="D56" s="80">
        <v>2</v>
      </c>
      <c r="E56" s="81">
        <v>2</v>
      </c>
      <c r="F56" s="81">
        <v>2</v>
      </c>
      <c r="G56" s="81">
        <v>2</v>
      </c>
      <c r="H56" s="81">
        <v>2</v>
      </c>
      <c r="I56" s="430">
        <v>2</v>
      </c>
    </row>
    <row r="57" spans="2:9" x14ac:dyDescent="0.2">
      <c r="B57" s="427" t="s">
        <v>726</v>
      </c>
      <c r="C57" s="79" t="s">
        <v>467</v>
      </c>
      <c r="D57" s="80">
        <v>255</v>
      </c>
      <c r="E57" s="81">
        <v>204</v>
      </c>
      <c r="F57" s="81">
        <v>156</v>
      </c>
      <c r="G57" s="81">
        <v>104</v>
      </c>
      <c r="H57" s="81">
        <v>52</v>
      </c>
      <c r="I57" s="430">
        <v>4</v>
      </c>
    </row>
    <row r="58" spans="2:9" x14ac:dyDescent="0.2">
      <c r="B58" s="427" t="s">
        <v>726</v>
      </c>
      <c r="C58" s="79" t="s">
        <v>735</v>
      </c>
      <c r="D58" s="80">
        <v>203</v>
      </c>
      <c r="E58" s="81">
        <v>152</v>
      </c>
      <c r="F58" s="81">
        <v>104</v>
      </c>
      <c r="G58" s="81">
        <v>52</v>
      </c>
      <c r="H58" s="81"/>
      <c r="I58" s="430"/>
    </row>
    <row r="59" spans="2:9" x14ac:dyDescent="0.2">
      <c r="B59" s="427" t="s">
        <v>726</v>
      </c>
      <c r="C59" s="55" t="s">
        <v>452</v>
      </c>
      <c r="D59" s="410">
        <v>52</v>
      </c>
      <c r="E59" s="411">
        <v>52</v>
      </c>
      <c r="F59" s="411">
        <v>52</v>
      </c>
      <c r="G59" s="411">
        <v>52</v>
      </c>
      <c r="H59" s="411">
        <v>52</v>
      </c>
      <c r="I59" s="432">
        <v>4</v>
      </c>
    </row>
    <row r="60" spans="2:9" x14ac:dyDescent="0.2">
      <c r="B60" s="426" t="s">
        <v>457</v>
      </c>
      <c r="C60" s="79" t="s">
        <v>441</v>
      </c>
      <c r="D60" s="80">
        <v>2</v>
      </c>
      <c r="E60" s="81">
        <v>2</v>
      </c>
      <c r="F60" s="81">
        <v>2</v>
      </c>
      <c r="G60" s="81">
        <v>2</v>
      </c>
      <c r="H60" s="81">
        <v>2</v>
      </c>
      <c r="I60" s="430">
        <v>2</v>
      </c>
    </row>
    <row r="61" spans="2:9" x14ac:dyDescent="0.2">
      <c r="B61" s="426" t="s">
        <v>500</v>
      </c>
      <c r="C61" s="79" t="s">
        <v>428</v>
      </c>
      <c r="D61" s="80">
        <v>243</v>
      </c>
      <c r="E61" s="81">
        <v>192</v>
      </c>
      <c r="F61" s="81">
        <v>144</v>
      </c>
      <c r="G61" s="81">
        <v>92</v>
      </c>
      <c r="H61" s="81">
        <v>46</v>
      </c>
      <c r="I61" s="430"/>
    </row>
    <row r="62" spans="2:9" x14ac:dyDescent="0.2">
      <c r="B62" s="426" t="s">
        <v>500</v>
      </c>
      <c r="C62" s="79" t="s">
        <v>452</v>
      </c>
      <c r="D62" s="80">
        <v>12</v>
      </c>
      <c r="E62" s="81">
        <v>12</v>
      </c>
      <c r="F62" s="81">
        <v>12</v>
      </c>
      <c r="G62" s="81">
        <v>12</v>
      </c>
      <c r="H62" s="81">
        <v>6</v>
      </c>
      <c r="I62" s="430">
        <v>4</v>
      </c>
    </row>
    <row r="63" spans="2:9" x14ac:dyDescent="0.2">
      <c r="B63" s="426" t="s">
        <v>477</v>
      </c>
      <c r="C63" s="79" t="s">
        <v>441</v>
      </c>
      <c r="D63" s="80">
        <v>255</v>
      </c>
      <c r="E63" s="81">
        <v>204</v>
      </c>
      <c r="F63" s="81">
        <v>156</v>
      </c>
      <c r="G63" s="81">
        <v>104</v>
      </c>
      <c r="H63" s="81">
        <v>52</v>
      </c>
      <c r="I63" s="430">
        <v>4</v>
      </c>
    </row>
    <row r="64" spans="2:9" x14ac:dyDescent="0.2">
      <c r="B64" s="426" t="s">
        <v>478</v>
      </c>
      <c r="C64" s="79" t="s">
        <v>479</v>
      </c>
      <c r="D64" s="80">
        <v>52</v>
      </c>
      <c r="E64" s="81">
        <v>52</v>
      </c>
      <c r="F64" s="81">
        <v>52</v>
      </c>
      <c r="G64" s="81">
        <v>52</v>
      </c>
      <c r="H64" s="81">
        <v>52</v>
      </c>
      <c r="I64" s="430">
        <v>4</v>
      </c>
    </row>
    <row r="65" spans="2:9" x14ac:dyDescent="0.2">
      <c r="B65" s="426" t="s">
        <v>501</v>
      </c>
      <c r="C65" s="79" t="s">
        <v>441</v>
      </c>
      <c r="D65" s="80">
        <v>52</v>
      </c>
      <c r="E65" s="81">
        <v>52</v>
      </c>
      <c r="F65" s="81">
        <v>52</v>
      </c>
      <c r="G65" s="81">
        <v>52</v>
      </c>
      <c r="H65" s="81">
        <v>52</v>
      </c>
      <c r="I65" s="430">
        <v>4</v>
      </c>
    </row>
    <row r="66" spans="2:9" x14ac:dyDescent="0.2">
      <c r="B66" s="426" t="s">
        <v>466</v>
      </c>
      <c r="C66" s="79" t="s">
        <v>467</v>
      </c>
      <c r="D66" s="80">
        <v>255</v>
      </c>
      <c r="E66" s="81">
        <v>204</v>
      </c>
      <c r="F66" s="81">
        <v>156</v>
      </c>
      <c r="G66" s="81">
        <v>104</v>
      </c>
      <c r="H66" s="81">
        <v>52</v>
      </c>
      <c r="I66" s="430">
        <v>4</v>
      </c>
    </row>
    <row r="67" spans="2:9" x14ac:dyDescent="0.2">
      <c r="B67" s="426" t="s">
        <v>486</v>
      </c>
      <c r="C67" s="79" t="s">
        <v>452</v>
      </c>
      <c r="D67" s="80">
        <v>255</v>
      </c>
      <c r="E67" s="81">
        <v>204</v>
      </c>
      <c r="F67" s="81">
        <v>156</v>
      </c>
      <c r="G67" s="81">
        <v>104</v>
      </c>
      <c r="H67" s="81">
        <v>52</v>
      </c>
      <c r="I67" s="430">
        <v>4</v>
      </c>
    </row>
    <row r="68" spans="2:9" x14ac:dyDescent="0.2">
      <c r="B68" s="427" t="s">
        <v>728</v>
      </c>
      <c r="C68" s="79" t="s">
        <v>441</v>
      </c>
      <c r="D68" s="80">
        <v>255</v>
      </c>
      <c r="E68" s="81">
        <v>204</v>
      </c>
      <c r="F68" s="81">
        <v>156</v>
      </c>
      <c r="G68" s="81">
        <v>104</v>
      </c>
      <c r="H68" s="81">
        <v>52</v>
      </c>
      <c r="I68" s="430">
        <v>4</v>
      </c>
    </row>
    <row r="69" spans="2:9" x14ac:dyDescent="0.2">
      <c r="B69" s="426" t="s">
        <v>487</v>
      </c>
      <c r="C69" s="79" t="s">
        <v>428</v>
      </c>
      <c r="D69" s="80">
        <v>255</v>
      </c>
      <c r="E69" s="81">
        <v>204</v>
      </c>
      <c r="F69" s="81">
        <v>156</v>
      </c>
      <c r="G69" s="81">
        <v>104</v>
      </c>
      <c r="H69" s="81">
        <v>52</v>
      </c>
      <c r="I69" s="430">
        <v>4</v>
      </c>
    </row>
    <row r="70" spans="2:9" x14ac:dyDescent="0.2">
      <c r="B70" s="426" t="s">
        <v>444</v>
      </c>
      <c r="C70" s="79" t="s">
        <v>435</v>
      </c>
      <c r="D70" s="80">
        <v>255</v>
      </c>
      <c r="E70" s="81">
        <v>204</v>
      </c>
      <c r="F70" s="81">
        <v>156</v>
      </c>
      <c r="G70" s="81">
        <v>104</v>
      </c>
      <c r="H70" s="81">
        <v>52</v>
      </c>
      <c r="I70" s="430">
        <v>4</v>
      </c>
    </row>
    <row r="71" spans="2:9" x14ac:dyDescent="0.2">
      <c r="B71" s="426" t="s">
        <v>458</v>
      </c>
      <c r="C71" s="79" t="s">
        <v>441</v>
      </c>
      <c r="D71" s="80">
        <v>255</v>
      </c>
      <c r="E71" s="81">
        <v>204</v>
      </c>
      <c r="F71" s="81">
        <v>156</v>
      </c>
      <c r="G71" s="81">
        <v>104</v>
      </c>
      <c r="H71" s="81">
        <v>52</v>
      </c>
      <c r="I71" s="430">
        <v>4</v>
      </c>
    </row>
    <row r="72" spans="2:9" x14ac:dyDescent="0.2">
      <c r="B72" s="426" t="s">
        <v>445</v>
      </c>
      <c r="C72" s="79" t="s">
        <v>446</v>
      </c>
      <c r="D72" s="80">
        <v>255</v>
      </c>
      <c r="E72" s="81">
        <v>204</v>
      </c>
      <c r="F72" s="81">
        <v>156</v>
      </c>
      <c r="G72" s="81">
        <v>104</v>
      </c>
      <c r="H72" s="81">
        <v>52</v>
      </c>
      <c r="I72" s="430">
        <v>4</v>
      </c>
    </row>
    <row r="73" spans="2:9" x14ac:dyDescent="0.2">
      <c r="B73" s="426" t="s">
        <v>495</v>
      </c>
      <c r="C73" s="79" t="s">
        <v>496</v>
      </c>
      <c r="D73" s="80">
        <v>203</v>
      </c>
      <c r="E73" s="81">
        <v>152</v>
      </c>
      <c r="F73" s="81">
        <v>104</v>
      </c>
      <c r="G73" s="81">
        <v>92</v>
      </c>
      <c r="H73" s="81">
        <v>40</v>
      </c>
      <c r="I73" s="430"/>
    </row>
    <row r="74" spans="2:9" x14ac:dyDescent="0.2">
      <c r="B74" s="426" t="s">
        <v>495</v>
      </c>
      <c r="C74" s="79" t="s">
        <v>497</v>
      </c>
      <c r="D74" s="80">
        <v>52</v>
      </c>
      <c r="E74" s="81">
        <v>52</v>
      </c>
      <c r="F74" s="81">
        <v>52</v>
      </c>
      <c r="G74" s="81">
        <v>12</v>
      </c>
      <c r="H74" s="81">
        <v>12</v>
      </c>
      <c r="I74" s="430">
        <v>4</v>
      </c>
    </row>
    <row r="75" spans="2:9" x14ac:dyDescent="0.2">
      <c r="B75" s="426" t="s">
        <v>447</v>
      </c>
      <c r="C75" s="79" t="s">
        <v>498</v>
      </c>
      <c r="D75" s="80">
        <v>255</v>
      </c>
      <c r="E75" s="81">
        <v>204</v>
      </c>
      <c r="F75" s="81">
        <v>156</v>
      </c>
      <c r="G75" s="81">
        <v>104</v>
      </c>
      <c r="H75" s="81">
        <v>52</v>
      </c>
      <c r="I75" s="430">
        <v>4</v>
      </c>
    </row>
    <row r="76" spans="2:9" x14ac:dyDescent="0.2">
      <c r="B76" s="427" t="s">
        <v>725</v>
      </c>
      <c r="C76" s="79" t="s">
        <v>467</v>
      </c>
      <c r="D76" s="80">
        <v>255</v>
      </c>
      <c r="E76" s="81">
        <v>204</v>
      </c>
      <c r="F76" s="81">
        <v>156</v>
      </c>
      <c r="G76" s="81">
        <v>104</v>
      </c>
      <c r="H76" s="81">
        <v>52</v>
      </c>
      <c r="I76" s="430">
        <v>4</v>
      </c>
    </row>
    <row r="77" spans="2:9" x14ac:dyDescent="0.2">
      <c r="B77" s="427" t="s">
        <v>725</v>
      </c>
      <c r="C77" s="79" t="s">
        <v>452</v>
      </c>
      <c r="D77" s="80">
        <v>255</v>
      </c>
      <c r="E77" s="81">
        <v>204</v>
      </c>
      <c r="F77" s="81">
        <v>156</v>
      </c>
      <c r="G77" s="81">
        <v>104</v>
      </c>
      <c r="H77" s="81">
        <v>52</v>
      </c>
      <c r="I77" s="430">
        <v>4</v>
      </c>
    </row>
    <row r="78" spans="2:9" x14ac:dyDescent="0.2">
      <c r="B78" s="426" t="s">
        <v>480</v>
      </c>
      <c r="C78" s="79" t="s">
        <v>429</v>
      </c>
      <c r="D78" s="80">
        <v>255</v>
      </c>
      <c r="E78" s="81">
        <v>204</v>
      </c>
      <c r="F78" s="81">
        <v>156</v>
      </c>
      <c r="G78" s="81">
        <v>104</v>
      </c>
      <c r="H78" s="81">
        <v>52</v>
      </c>
      <c r="I78" s="430">
        <v>4</v>
      </c>
    </row>
    <row r="79" spans="2:9" x14ac:dyDescent="0.2">
      <c r="B79" s="426" t="s">
        <v>480</v>
      </c>
      <c r="C79" s="79" t="s">
        <v>465</v>
      </c>
      <c r="D79" s="80">
        <v>52</v>
      </c>
      <c r="E79" s="81">
        <v>52</v>
      </c>
      <c r="F79" s="81">
        <v>52</v>
      </c>
      <c r="G79" s="81">
        <v>52</v>
      </c>
      <c r="H79" s="81">
        <v>52</v>
      </c>
      <c r="I79" s="430">
        <v>4</v>
      </c>
    </row>
    <row r="80" spans="2:9" x14ac:dyDescent="0.2">
      <c r="B80" s="427" t="s">
        <v>724</v>
      </c>
      <c r="C80" s="79" t="s">
        <v>467</v>
      </c>
      <c r="D80" s="80">
        <v>255</v>
      </c>
      <c r="E80" s="81">
        <v>204</v>
      </c>
      <c r="F80" s="81">
        <v>156</v>
      </c>
      <c r="G80" s="81">
        <v>104</v>
      </c>
      <c r="H80" s="81">
        <v>52</v>
      </c>
      <c r="I80" s="430">
        <v>4</v>
      </c>
    </row>
    <row r="81" spans="2:9" x14ac:dyDescent="0.2">
      <c r="B81" s="427" t="s">
        <v>724</v>
      </c>
      <c r="C81" s="79" t="s">
        <v>452</v>
      </c>
      <c r="D81" s="80">
        <v>255</v>
      </c>
      <c r="E81" s="81">
        <v>204</v>
      </c>
      <c r="F81" s="81">
        <v>156</v>
      </c>
      <c r="G81" s="81">
        <v>104</v>
      </c>
      <c r="H81" s="81">
        <v>52</v>
      </c>
      <c r="I81" s="430">
        <v>4</v>
      </c>
    </row>
    <row r="82" spans="2:9" x14ac:dyDescent="0.2">
      <c r="B82" s="426" t="s">
        <v>448</v>
      </c>
      <c r="C82" s="79" t="s">
        <v>428</v>
      </c>
      <c r="D82" s="80">
        <v>40</v>
      </c>
      <c r="E82" s="81">
        <v>40</v>
      </c>
      <c r="F82" s="81">
        <v>40</v>
      </c>
      <c r="G82" s="81">
        <v>40</v>
      </c>
      <c r="H82" s="81">
        <v>40</v>
      </c>
      <c r="I82" s="430"/>
    </row>
    <row r="83" spans="2:9" x14ac:dyDescent="0.2">
      <c r="B83" s="426" t="s">
        <v>448</v>
      </c>
      <c r="C83" s="79" t="s">
        <v>452</v>
      </c>
      <c r="D83" s="80">
        <v>12</v>
      </c>
      <c r="E83" s="81">
        <v>12</v>
      </c>
      <c r="F83" s="81">
        <v>12</v>
      </c>
      <c r="G83" s="81">
        <v>12</v>
      </c>
      <c r="H83" s="81">
        <v>12</v>
      </c>
      <c r="I83" s="430">
        <v>4</v>
      </c>
    </row>
    <row r="84" spans="2:9" x14ac:dyDescent="0.2">
      <c r="B84" s="426" t="s">
        <v>481</v>
      </c>
      <c r="C84" s="79" t="s">
        <v>499</v>
      </c>
      <c r="D84" s="80">
        <v>104</v>
      </c>
      <c r="E84" s="81">
        <v>104</v>
      </c>
      <c r="F84" s="81">
        <v>104</v>
      </c>
      <c r="G84" s="81">
        <v>52</v>
      </c>
      <c r="H84" s="81"/>
      <c r="I84" s="430"/>
    </row>
    <row r="85" spans="2:9" x14ac:dyDescent="0.2">
      <c r="B85" s="426" t="s">
        <v>449</v>
      </c>
      <c r="C85" s="79" t="s">
        <v>441</v>
      </c>
      <c r="D85" s="80">
        <v>52</v>
      </c>
      <c r="E85" s="81">
        <v>52</v>
      </c>
      <c r="F85" s="81">
        <v>52</v>
      </c>
      <c r="G85" s="81">
        <v>52</v>
      </c>
      <c r="H85" s="81">
        <v>52</v>
      </c>
      <c r="I85" s="430">
        <v>4</v>
      </c>
    </row>
    <row r="86" spans="2:9" x14ac:dyDescent="0.2">
      <c r="B86" s="426" t="s">
        <v>450</v>
      </c>
      <c r="C86" s="79" t="s">
        <v>428</v>
      </c>
      <c r="D86" s="80">
        <v>40</v>
      </c>
      <c r="E86" s="81">
        <v>40</v>
      </c>
      <c r="F86" s="81">
        <v>40</v>
      </c>
      <c r="G86" s="81">
        <v>40</v>
      </c>
      <c r="H86" s="81">
        <v>40</v>
      </c>
      <c r="I86" s="430"/>
    </row>
    <row r="87" spans="2:9" x14ac:dyDescent="0.2">
      <c r="B87" s="426" t="s">
        <v>450</v>
      </c>
      <c r="C87" s="79" t="s">
        <v>429</v>
      </c>
      <c r="D87" s="80">
        <v>12</v>
      </c>
      <c r="E87" s="81">
        <v>12</v>
      </c>
      <c r="F87" s="81">
        <v>12</v>
      </c>
      <c r="G87" s="81">
        <v>12</v>
      </c>
      <c r="H87" s="81">
        <v>12</v>
      </c>
      <c r="I87" s="430">
        <v>4</v>
      </c>
    </row>
    <row r="88" spans="2:9" x14ac:dyDescent="0.2">
      <c r="B88" s="426" t="s">
        <v>744</v>
      </c>
      <c r="C88" s="78" t="s">
        <v>742</v>
      </c>
      <c r="D88" s="80">
        <v>255</v>
      </c>
      <c r="E88" s="81">
        <v>204</v>
      </c>
      <c r="F88" s="81">
        <v>156</v>
      </c>
      <c r="G88" s="81">
        <v>104</v>
      </c>
      <c r="H88" s="81">
        <v>52</v>
      </c>
      <c r="I88" s="430">
        <v>4</v>
      </c>
    </row>
    <row r="89" spans="2:9" x14ac:dyDescent="0.2">
      <c r="B89" s="426" t="s">
        <v>744</v>
      </c>
      <c r="C89" s="78" t="s">
        <v>483</v>
      </c>
      <c r="D89" s="80">
        <v>52</v>
      </c>
      <c r="E89" s="81">
        <v>52</v>
      </c>
      <c r="F89" s="81">
        <v>52</v>
      </c>
      <c r="G89" s="81">
        <v>52</v>
      </c>
      <c r="H89" s="81">
        <v>52</v>
      </c>
      <c r="I89" s="430">
        <v>4</v>
      </c>
    </row>
    <row r="90" spans="2:9" x14ac:dyDescent="0.2">
      <c r="B90" s="426" t="s">
        <v>744</v>
      </c>
      <c r="C90" s="78" t="s">
        <v>741</v>
      </c>
      <c r="D90" s="80">
        <v>4</v>
      </c>
      <c r="E90" s="81">
        <v>4</v>
      </c>
      <c r="F90" s="81">
        <v>4</v>
      </c>
      <c r="G90" s="81">
        <v>4</v>
      </c>
      <c r="H90" s="81">
        <v>4</v>
      </c>
      <c r="I90" s="430">
        <v>4</v>
      </c>
    </row>
    <row r="91" spans="2:9" x14ac:dyDescent="0.2">
      <c r="B91" s="426" t="s">
        <v>746</v>
      </c>
      <c r="C91" s="79" t="s">
        <v>743</v>
      </c>
      <c r="D91" s="80">
        <v>255</v>
      </c>
      <c r="E91" s="81">
        <v>204</v>
      </c>
      <c r="F91" s="81">
        <v>156</v>
      </c>
      <c r="G91" s="81">
        <v>104</v>
      </c>
      <c r="H91" s="81">
        <v>52</v>
      </c>
      <c r="I91" s="430">
        <v>4</v>
      </c>
    </row>
    <row r="92" spans="2:9" x14ac:dyDescent="0.2">
      <c r="B92" s="426" t="s">
        <v>746</v>
      </c>
      <c r="C92" s="79" t="s">
        <v>483</v>
      </c>
      <c r="D92" s="80">
        <v>52</v>
      </c>
      <c r="E92" s="81">
        <v>52</v>
      </c>
      <c r="F92" s="81">
        <v>52</v>
      </c>
      <c r="G92" s="81">
        <v>52</v>
      </c>
      <c r="H92" s="81">
        <v>52</v>
      </c>
      <c r="I92" s="430">
        <v>4</v>
      </c>
    </row>
    <row r="93" spans="2:9" x14ac:dyDescent="0.2">
      <c r="B93" s="426" t="s">
        <v>747</v>
      </c>
      <c r="C93" s="79" t="s">
        <v>748</v>
      </c>
      <c r="D93" s="80">
        <v>2</v>
      </c>
      <c r="E93" s="81">
        <v>2</v>
      </c>
      <c r="F93" s="81">
        <v>2</v>
      </c>
      <c r="G93" s="81">
        <v>2</v>
      </c>
      <c r="H93" s="81">
        <v>2</v>
      </c>
      <c r="I93" s="430">
        <v>2</v>
      </c>
    </row>
    <row r="94" spans="2:9" x14ac:dyDescent="0.2">
      <c r="B94" s="426" t="s">
        <v>745</v>
      </c>
      <c r="C94" s="79" t="s">
        <v>482</v>
      </c>
      <c r="D94" s="80">
        <v>255</v>
      </c>
      <c r="E94" s="81">
        <v>204</v>
      </c>
      <c r="F94" s="81">
        <v>156</v>
      </c>
      <c r="G94" s="81">
        <v>104</v>
      </c>
      <c r="H94" s="81">
        <v>52</v>
      </c>
      <c r="I94" s="430">
        <v>4</v>
      </c>
    </row>
    <row r="95" spans="2:9" x14ac:dyDescent="0.2">
      <c r="B95" s="426" t="s">
        <v>745</v>
      </c>
      <c r="C95" s="79" t="s">
        <v>483</v>
      </c>
      <c r="D95" s="80">
        <v>255</v>
      </c>
      <c r="E95" s="81">
        <v>204</v>
      </c>
      <c r="F95" s="81">
        <v>156</v>
      </c>
      <c r="G95" s="81">
        <v>104</v>
      </c>
      <c r="H95" s="81">
        <v>52</v>
      </c>
      <c r="I95" s="430"/>
    </row>
    <row r="96" spans="2:9" x14ac:dyDescent="0.2">
      <c r="B96" s="426" t="s">
        <v>745</v>
      </c>
      <c r="C96" s="79" t="s">
        <v>484</v>
      </c>
      <c r="D96" s="80">
        <v>52</v>
      </c>
      <c r="E96" s="81">
        <v>52</v>
      </c>
      <c r="F96" s="81">
        <v>52</v>
      </c>
      <c r="G96" s="81">
        <v>52</v>
      </c>
      <c r="H96" s="81">
        <v>52</v>
      </c>
      <c r="I96" s="430">
        <v>4</v>
      </c>
    </row>
    <row r="97" spans="2:9" x14ac:dyDescent="0.2">
      <c r="B97" s="426" t="s">
        <v>686</v>
      </c>
      <c r="C97" s="79" t="s">
        <v>749</v>
      </c>
      <c r="D97" s="80">
        <v>203</v>
      </c>
      <c r="E97" s="81">
        <v>152</v>
      </c>
      <c r="F97" s="81">
        <v>104</v>
      </c>
      <c r="G97" s="81">
        <v>52</v>
      </c>
      <c r="H97" s="81"/>
      <c r="I97" s="430"/>
    </row>
    <row r="98" spans="2:9" x14ac:dyDescent="0.2">
      <c r="B98" s="426" t="s">
        <v>686</v>
      </c>
      <c r="C98" s="79" t="s">
        <v>472</v>
      </c>
      <c r="D98" s="80">
        <v>255</v>
      </c>
      <c r="E98" s="81">
        <v>204</v>
      </c>
      <c r="F98" s="81">
        <v>156</v>
      </c>
      <c r="G98" s="81">
        <v>104</v>
      </c>
      <c r="H98" s="81">
        <v>52</v>
      </c>
      <c r="I98" s="430">
        <v>4</v>
      </c>
    </row>
    <row r="99" spans="2:9" x14ac:dyDescent="0.2">
      <c r="B99" s="426" t="s">
        <v>686</v>
      </c>
      <c r="C99" s="79" t="s">
        <v>750</v>
      </c>
      <c r="D99" s="80">
        <v>52</v>
      </c>
      <c r="E99" s="81">
        <v>52</v>
      </c>
      <c r="F99" s="81">
        <v>52</v>
      </c>
      <c r="G99" s="81">
        <v>52</v>
      </c>
      <c r="H99" s="81">
        <v>52</v>
      </c>
      <c r="I99" s="430">
        <v>4</v>
      </c>
    </row>
    <row r="100" spans="2:9" x14ac:dyDescent="0.2">
      <c r="B100" s="426" t="s">
        <v>468</v>
      </c>
      <c r="C100" s="79" t="s">
        <v>460</v>
      </c>
      <c r="D100" s="80">
        <v>243</v>
      </c>
      <c r="E100" s="81">
        <v>192</v>
      </c>
      <c r="F100" s="81">
        <v>144</v>
      </c>
      <c r="G100" s="81">
        <v>92</v>
      </c>
      <c r="H100" s="81">
        <v>46</v>
      </c>
      <c r="I100" s="430"/>
    </row>
    <row r="101" spans="2:9" x14ac:dyDescent="0.2">
      <c r="B101" s="426" t="s">
        <v>468</v>
      </c>
      <c r="C101" s="79" t="s">
        <v>461</v>
      </c>
      <c r="D101" s="80">
        <v>12</v>
      </c>
      <c r="E101" s="81">
        <v>12</v>
      </c>
      <c r="F101" s="81">
        <v>12</v>
      </c>
      <c r="G101" s="81">
        <v>12</v>
      </c>
      <c r="H101" s="81">
        <v>6</v>
      </c>
      <c r="I101" s="430">
        <v>4</v>
      </c>
    </row>
    <row r="102" spans="2:9" x14ac:dyDescent="0.2">
      <c r="B102" s="426" t="s">
        <v>459</v>
      </c>
      <c r="C102" s="79" t="s">
        <v>460</v>
      </c>
      <c r="D102" s="80">
        <v>243</v>
      </c>
      <c r="E102" s="81">
        <v>192</v>
      </c>
      <c r="F102" s="81">
        <v>144</v>
      </c>
      <c r="G102" s="81">
        <v>92</v>
      </c>
      <c r="H102" s="81">
        <v>46</v>
      </c>
      <c r="I102" s="430"/>
    </row>
    <row r="103" spans="2:9" x14ac:dyDescent="0.2">
      <c r="B103" s="426" t="s">
        <v>459</v>
      </c>
      <c r="C103" s="79" t="s">
        <v>452</v>
      </c>
      <c r="D103" s="80">
        <v>12</v>
      </c>
      <c r="E103" s="81">
        <v>12</v>
      </c>
      <c r="F103" s="81">
        <v>12</v>
      </c>
      <c r="G103" s="81">
        <v>12</v>
      </c>
      <c r="H103" s="81">
        <v>6</v>
      </c>
      <c r="I103" s="430">
        <v>4</v>
      </c>
    </row>
    <row r="104" spans="2:9" x14ac:dyDescent="0.2">
      <c r="B104" s="426" t="s">
        <v>729</v>
      </c>
      <c r="C104" s="79" t="s">
        <v>441</v>
      </c>
      <c r="D104" s="80">
        <v>255</v>
      </c>
      <c r="E104" s="81">
        <v>204</v>
      </c>
      <c r="F104" s="81">
        <v>156</v>
      </c>
      <c r="G104" s="81">
        <v>104</v>
      </c>
      <c r="H104" s="81">
        <v>52</v>
      </c>
      <c r="I104" s="430">
        <v>4</v>
      </c>
    </row>
    <row r="105" spans="2:9" x14ac:dyDescent="0.2">
      <c r="B105" s="426" t="s">
        <v>729</v>
      </c>
      <c r="C105" s="79" t="s">
        <v>465</v>
      </c>
      <c r="D105" s="80">
        <v>12</v>
      </c>
      <c r="E105" s="81">
        <v>12</v>
      </c>
      <c r="F105" s="81">
        <v>12</v>
      </c>
      <c r="G105" s="81">
        <v>12</v>
      </c>
      <c r="H105" s="81">
        <v>6</v>
      </c>
      <c r="I105" s="430">
        <v>4</v>
      </c>
    </row>
    <row r="106" spans="2:9" x14ac:dyDescent="0.2">
      <c r="B106" s="427" t="s">
        <v>723</v>
      </c>
      <c r="C106" s="79" t="s">
        <v>467</v>
      </c>
      <c r="D106" s="80">
        <v>255</v>
      </c>
      <c r="E106" s="81">
        <v>204</v>
      </c>
      <c r="F106" s="81">
        <v>156</v>
      </c>
      <c r="G106" s="81">
        <v>104</v>
      </c>
      <c r="H106" s="81">
        <v>52</v>
      </c>
      <c r="I106" s="430">
        <v>4</v>
      </c>
    </row>
    <row r="107" spans="2:9" x14ac:dyDescent="0.2">
      <c r="B107" s="439" t="s">
        <v>723</v>
      </c>
      <c r="C107" s="440" t="s">
        <v>452</v>
      </c>
      <c r="D107" s="441">
        <v>255</v>
      </c>
      <c r="E107" s="442">
        <v>204</v>
      </c>
      <c r="F107" s="442">
        <v>156</v>
      </c>
      <c r="G107" s="442">
        <v>104</v>
      </c>
      <c r="H107" s="442">
        <v>52</v>
      </c>
      <c r="I107" s="443">
        <v>4</v>
      </c>
    </row>
  </sheetData>
  <sortState xmlns:xlrd2="http://schemas.microsoft.com/office/spreadsheetml/2017/richdata2" ref="B4:I105">
    <sortCondition ref="B4:B105"/>
  </sortState>
  <pageMargins left="0.70866141732283472" right="0.70866141732283472" top="0.74803149606299213" bottom="0.74803149606299213" header="0.31496062992125984" footer="0.31496062992125984"/>
  <pageSetup paperSize="9" scale="99" fitToHeight="0" orientation="landscape" horizontalDpi="0" verticalDpi="0" r:id="rId1"/>
  <headerFooter>
    <oddHeader>&amp;L&amp;9&amp;K04-049Inventarisatiestaat&amp;R&amp;G</oddHeader>
    <oddFooter>&amp;L&amp;9&amp;K04-049Offerteaanvraag EU Openbare aanbesteding Schoonmaakonderhoud&amp;C&amp;9&amp;K04-049 8 april 2022&amp;R&amp;9&amp;K04-049Blad &amp;P van &amp;N</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6A4B7-A99C-426F-B750-44A91BA7F166}">
  <sheetPr codeName="Blad11">
    <tabColor theme="7" tint="0.59999389629810485"/>
    <pageSetUpPr fitToPage="1"/>
  </sheetPr>
  <dimension ref="B1:J61"/>
  <sheetViews>
    <sheetView showGridLines="0" showRowColHeaders="0" workbookViewId="0">
      <pane ySplit="3" topLeftCell="A4" activePane="bottomLeft" state="frozen"/>
      <selection activeCell="D28" sqref="D28"/>
      <selection pane="bottomLeft" activeCell="D3" sqref="D3"/>
    </sheetView>
  </sheetViews>
  <sheetFormatPr defaultColWidth="9.140625" defaultRowHeight="12" x14ac:dyDescent="0.2"/>
  <cols>
    <col min="1" max="1" width="9.140625" style="7"/>
    <col min="2" max="2" width="44.7109375" style="7" bestFit="1" customWidth="1"/>
    <col min="3" max="3" width="45.85546875" style="7" bestFit="1" customWidth="1"/>
    <col min="4" max="4" width="9.140625" style="84"/>
    <col min="5" max="5" width="0" style="84" hidden="1" customWidth="1"/>
    <col min="6" max="9" width="9.140625" style="84" hidden="1" customWidth="1"/>
    <col min="10" max="10" width="1.7109375" style="84" customWidth="1"/>
    <col min="11" max="16384" width="9.140625" style="7"/>
  </cols>
  <sheetData>
    <row r="1" spans="2:10" ht="25.5" customHeight="1" thickBot="1" x14ac:dyDescent="0.25">
      <c r="B1" s="521" t="s">
        <v>757</v>
      </c>
      <c r="C1" s="522"/>
      <c r="D1" s="522"/>
      <c r="E1" s="522"/>
      <c r="F1" s="522"/>
      <c r="G1" s="522"/>
      <c r="H1" s="522"/>
      <c r="I1" s="522"/>
      <c r="J1" s="523"/>
    </row>
    <row r="2" spans="2:10" ht="12.75" thickBot="1" x14ac:dyDescent="0.25"/>
    <row r="3" spans="2:10" ht="12.75" thickBot="1" x14ac:dyDescent="0.25">
      <c r="B3" s="412" t="s">
        <v>451</v>
      </c>
      <c r="C3" s="413" t="s">
        <v>388</v>
      </c>
      <c r="D3" s="414" t="s">
        <v>751</v>
      </c>
      <c r="E3" s="415" t="s">
        <v>752</v>
      </c>
      <c r="F3" s="416" t="s">
        <v>753</v>
      </c>
      <c r="G3" s="416" t="s">
        <v>754</v>
      </c>
      <c r="H3" s="416" t="s">
        <v>755</v>
      </c>
      <c r="I3" s="428" t="s">
        <v>756</v>
      </c>
      <c r="J3" s="417"/>
    </row>
    <row r="4" spans="2:10" x14ac:dyDescent="0.2">
      <c r="B4" s="418" t="s">
        <v>489</v>
      </c>
      <c r="C4" s="419" t="s">
        <v>490</v>
      </c>
      <c r="D4" s="444">
        <f>SUMIFS(BasisProgramma[255],BasisProgramma[Element],$B4,BasisProgramma[Handeling],$C4)</f>
        <v>203</v>
      </c>
      <c r="E4" s="445">
        <f>SUMIFS(BasisProgramma[204],BasisProgramma[Element],$B4,BasisProgramma[Handeling],$C4)</f>
        <v>152</v>
      </c>
      <c r="F4" s="445">
        <f>SUMIFS(BasisProgramma[156],BasisProgramma[Element],$B4,BasisProgramma[Handeling],$C4)</f>
        <v>104</v>
      </c>
      <c r="G4" s="445">
        <f>SUMIFS(BasisProgramma[104],BasisProgramma[Element],$B4,BasisProgramma[Handeling],$C4)</f>
        <v>52</v>
      </c>
      <c r="H4" s="445">
        <f>SUMIFS(BasisProgramma[52],BasisProgramma[Element],$B4,BasisProgramma[Handeling],$C4)</f>
        <v>0</v>
      </c>
      <c r="I4" s="460">
        <f>SUMIFS(BasisProgramma[4],BasisProgramma[Element],$B4,BasisProgramma[Handeling],$C4)</f>
        <v>0</v>
      </c>
      <c r="J4" s="446"/>
    </row>
    <row r="5" spans="2:10" x14ac:dyDescent="0.2">
      <c r="B5" s="422" t="s">
        <v>489</v>
      </c>
      <c r="C5" s="79" t="s">
        <v>491</v>
      </c>
      <c r="D5" s="447">
        <f>SUMIFS(BasisProgramma[255],BasisProgramma[Element],$B5,BasisProgramma[Handeling],$C5)</f>
        <v>52</v>
      </c>
      <c r="E5" s="448">
        <f>SUMIFS(BasisProgramma[204],BasisProgramma[Element],$B5,BasisProgramma[Handeling],$C5)</f>
        <v>52</v>
      </c>
      <c r="F5" s="448">
        <f>SUMIFS(BasisProgramma[156],BasisProgramma[Element],$B5,BasisProgramma[Handeling],$C5)</f>
        <v>52</v>
      </c>
      <c r="G5" s="448">
        <f>SUMIFS(BasisProgramma[104],BasisProgramma[Element],$B5,BasisProgramma[Handeling],$C5)</f>
        <v>52</v>
      </c>
      <c r="H5" s="448">
        <f>SUMIFS(BasisProgramma[52],BasisProgramma[Element],$B5,BasisProgramma[Handeling],$C5)</f>
        <v>52</v>
      </c>
      <c r="I5" s="461">
        <f>SUMIFS(BasisProgramma[4],BasisProgramma[Element],$B5,BasisProgramma[Handeling],$C5)</f>
        <v>4</v>
      </c>
      <c r="J5" s="449"/>
    </row>
    <row r="6" spans="2:10" x14ac:dyDescent="0.2">
      <c r="B6" s="422" t="s">
        <v>488</v>
      </c>
      <c r="C6" s="79" t="s">
        <v>463</v>
      </c>
      <c r="D6" s="447">
        <f>SUMIFS(BasisProgramma[255],BasisProgramma[Element],$B6,BasisProgramma[Handeling],$C6)</f>
        <v>203</v>
      </c>
      <c r="E6" s="448">
        <f>SUMIFS(BasisProgramma[204],BasisProgramma[Element],$B6,BasisProgramma[Handeling],$C6)</f>
        <v>152</v>
      </c>
      <c r="F6" s="448">
        <f>SUMIFS(BasisProgramma[156],BasisProgramma[Element],$B6,BasisProgramma[Handeling],$C6)</f>
        <v>104</v>
      </c>
      <c r="G6" s="448">
        <f>SUMIFS(BasisProgramma[104],BasisProgramma[Element],$B6,BasisProgramma[Handeling],$C6)</f>
        <v>52</v>
      </c>
      <c r="H6" s="448">
        <f>SUMIFS(BasisProgramma[52],BasisProgramma[Element],$B6,BasisProgramma[Handeling],$C6)</f>
        <v>0</v>
      </c>
      <c r="I6" s="461">
        <f>SUMIFS(BasisProgramma[4],BasisProgramma[Element],$B6,BasisProgramma[Handeling],$C6)</f>
        <v>0</v>
      </c>
      <c r="J6" s="449"/>
    </row>
    <row r="7" spans="2:10" x14ac:dyDescent="0.2">
      <c r="B7" s="422" t="s">
        <v>488</v>
      </c>
      <c r="C7" s="79" t="s">
        <v>452</v>
      </c>
      <c r="D7" s="447">
        <f>SUMIFS(BasisProgramma[255],BasisProgramma[Element],$B7,BasisProgramma[Handeling],$C7)</f>
        <v>52</v>
      </c>
      <c r="E7" s="448">
        <f>SUMIFS(BasisProgramma[204],BasisProgramma[Element],$B7,BasisProgramma[Handeling],$C7)</f>
        <v>52</v>
      </c>
      <c r="F7" s="448">
        <f>SUMIFS(BasisProgramma[156],BasisProgramma[Element],$B7,BasisProgramma[Handeling],$C7)</f>
        <v>52</v>
      </c>
      <c r="G7" s="448">
        <f>SUMIFS(BasisProgramma[104],BasisProgramma[Element],$B7,BasisProgramma[Handeling],$C7)</f>
        <v>52</v>
      </c>
      <c r="H7" s="448">
        <f>SUMIFS(BasisProgramma[52],BasisProgramma[Element],$B7,BasisProgramma[Handeling],$C7)</f>
        <v>52</v>
      </c>
      <c r="I7" s="461">
        <f>SUMIFS(BasisProgramma[4],BasisProgramma[Element],$B7,BasisProgramma[Handeling],$C7)</f>
        <v>4</v>
      </c>
      <c r="J7" s="449"/>
    </row>
    <row r="8" spans="2:10" x14ac:dyDescent="0.2">
      <c r="B8" s="422" t="s">
        <v>462</v>
      </c>
      <c r="C8" s="79" t="s">
        <v>463</v>
      </c>
      <c r="D8" s="447">
        <f>SUMIFS(BasisProgramma[255],BasisProgramma[Element],$B8,BasisProgramma[Handeling],$C8)</f>
        <v>243</v>
      </c>
      <c r="E8" s="448">
        <f>SUMIFS(BasisProgramma[204],BasisProgramma[Element],$B8,BasisProgramma[Handeling],$C8)</f>
        <v>192</v>
      </c>
      <c r="F8" s="448">
        <f>SUMIFS(BasisProgramma[156],BasisProgramma[Element],$B8,BasisProgramma[Handeling],$C8)</f>
        <v>144</v>
      </c>
      <c r="G8" s="448">
        <f>SUMIFS(BasisProgramma[104],BasisProgramma[Element],$B8,BasisProgramma[Handeling],$C8)</f>
        <v>92</v>
      </c>
      <c r="H8" s="448">
        <f>SUMIFS(BasisProgramma[52],BasisProgramma[Element],$B8,BasisProgramma[Handeling],$C8)</f>
        <v>46</v>
      </c>
      <c r="I8" s="461">
        <f>SUMIFS(BasisProgramma[4],BasisProgramma[Element],$B8,BasisProgramma[Handeling],$C8)</f>
        <v>0</v>
      </c>
      <c r="J8" s="449"/>
    </row>
    <row r="9" spans="2:10" x14ac:dyDescent="0.2">
      <c r="B9" s="422" t="s">
        <v>462</v>
      </c>
      <c r="C9" s="79" t="s">
        <v>464</v>
      </c>
      <c r="D9" s="447">
        <f>SUMIFS(BasisProgramma[255],BasisProgramma[Element],$B9,BasisProgramma[Handeling],$C9)</f>
        <v>12</v>
      </c>
      <c r="E9" s="448">
        <f>SUMIFS(BasisProgramma[204],BasisProgramma[Element],$B9,BasisProgramma[Handeling],$C9)</f>
        <v>12</v>
      </c>
      <c r="F9" s="448">
        <f>SUMIFS(BasisProgramma[156],BasisProgramma[Element],$B9,BasisProgramma[Handeling],$C9)</f>
        <v>12</v>
      </c>
      <c r="G9" s="448">
        <f>SUMIFS(BasisProgramma[104],BasisProgramma[Element],$B9,BasisProgramma[Handeling],$C9)</f>
        <v>12</v>
      </c>
      <c r="H9" s="448">
        <f>SUMIFS(BasisProgramma[52],BasisProgramma[Element],$B9,BasisProgramma[Handeling],$C9)</f>
        <v>6</v>
      </c>
      <c r="I9" s="461">
        <f>SUMIFS(BasisProgramma[4],BasisProgramma[Element],$B9,BasisProgramma[Handeling],$C9)</f>
        <v>4</v>
      </c>
      <c r="J9" s="449"/>
    </row>
    <row r="10" spans="2:10" x14ac:dyDescent="0.2">
      <c r="B10" s="422" t="s">
        <v>494</v>
      </c>
      <c r="C10" s="79" t="s">
        <v>427</v>
      </c>
      <c r="D10" s="447">
        <f>SUMIFS(BasisProgramma[255],BasisProgramma[Element],$B10,BasisProgramma[Handeling],$C10)</f>
        <v>255</v>
      </c>
      <c r="E10" s="448">
        <f>SUMIFS(BasisProgramma[204],BasisProgramma[Element],$B10,BasisProgramma[Handeling],$C10)</f>
        <v>204</v>
      </c>
      <c r="F10" s="448">
        <f>SUMIFS(BasisProgramma[156],BasisProgramma[Element],$B10,BasisProgramma[Handeling],$C10)</f>
        <v>156</v>
      </c>
      <c r="G10" s="448">
        <f>SUMIFS(BasisProgramma[104],BasisProgramma[Element],$B10,BasisProgramma[Handeling],$C10)</f>
        <v>104</v>
      </c>
      <c r="H10" s="448">
        <f>SUMIFS(BasisProgramma[52],BasisProgramma[Element],$B10,BasisProgramma[Handeling],$C10)</f>
        <v>52</v>
      </c>
      <c r="I10" s="461">
        <f>SUMIFS(BasisProgramma[4],BasisProgramma[Element],$B10,BasisProgramma[Handeling],$C10)</f>
        <v>4</v>
      </c>
      <c r="J10" s="449"/>
    </row>
    <row r="11" spans="2:10" x14ac:dyDescent="0.2">
      <c r="B11" s="422" t="s">
        <v>494</v>
      </c>
      <c r="C11" s="79" t="s">
        <v>428</v>
      </c>
      <c r="D11" s="447">
        <f>SUMIFS(BasisProgramma[255],BasisProgramma[Element],$B11,BasisProgramma[Handeling],$C11)</f>
        <v>203</v>
      </c>
      <c r="E11" s="448">
        <f>SUMIFS(BasisProgramma[204],BasisProgramma[Element],$B11,BasisProgramma[Handeling],$C11)</f>
        <v>152</v>
      </c>
      <c r="F11" s="448">
        <f>SUMIFS(BasisProgramma[156],BasisProgramma[Element],$B11,BasisProgramma[Handeling],$C11)</f>
        <v>104</v>
      </c>
      <c r="G11" s="448">
        <f>SUMIFS(BasisProgramma[104],BasisProgramma[Element],$B11,BasisProgramma[Handeling],$C11)</f>
        <v>92</v>
      </c>
      <c r="H11" s="448">
        <f>SUMIFS(BasisProgramma[52],BasisProgramma[Element],$B11,BasisProgramma[Handeling],$C11)</f>
        <v>46</v>
      </c>
      <c r="I11" s="461">
        <f>SUMIFS(BasisProgramma[4],BasisProgramma[Element],$B11,BasisProgramma[Handeling],$C11)</f>
        <v>0</v>
      </c>
      <c r="J11" s="449"/>
    </row>
    <row r="12" spans="2:10" x14ac:dyDescent="0.2">
      <c r="B12" s="422" t="s">
        <v>494</v>
      </c>
      <c r="C12" s="79" t="s">
        <v>429</v>
      </c>
      <c r="D12" s="447">
        <f>SUMIFS(BasisProgramma[255],BasisProgramma[Element],$B12,BasisProgramma[Handeling],$C12)</f>
        <v>52</v>
      </c>
      <c r="E12" s="448">
        <f>SUMIFS(BasisProgramma[204],BasisProgramma[Element],$B12,BasisProgramma[Handeling],$C12)</f>
        <v>52</v>
      </c>
      <c r="F12" s="448">
        <f>SUMIFS(BasisProgramma[156],BasisProgramma[Element],$B12,BasisProgramma[Handeling],$C12)</f>
        <v>52</v>
      </c>
      <c r="G12" s="448">
        <f>SUMIFS(BasisProgramma[104],BasisProgramma[Element],$B12,BasisProgramma[Handeling],$C12)</f>
        <v>12</v>
      </c>
      <c r="H12" s="448">
        <f>SUMIFS(BasisProgramma[52],BasisProgramma[Element],$B12,BasisProgramma[Handeling],$C12)</f>
        <v>6</v>
      </c>
      <c r="I12" s="461">
        <f>SUMIFS(BasisProgramma[4],BasisProgramma[Element],$B12,BasisProgramma[Handeling],$C12)</f>
        <v>4</v>
      </c>
      <c r="J12" s="449"/>
    </row>
    <row r="13" spans="2:10" x14ac:dyDescent="0.2">
      <c r="B13" s="422" t="s">
        <v>720</v>
      </c>
      <c r="C13" s="79" t="s">
        <v>428</v>
      </c>
      <c r="D13" s="447">
        <f>SUMIFS(BasisProgramma[255],BasisProgramma[Element],$B13,BasisProgramma[Handeling],$C13)</f>
        <v>203</v>
      </c>
      <c r="E13" s="448">
        <f>SUMIFS(BasisProgramma[204],BasisProgramma[Element],$B13,BasisProgramma[Handeling],$C13)</f>
        <v>152</v>
      </c>
      <c r="F13" s="448">
        <f>SUMIFS(BasisProgramma[156],BasisProgramma[Element],$B13,BasisProgramma[Handeling],$C13)</f>
        <v>104</v>
      </c>
      <c r="G13" s="448">
        <f>SUMIFS(BasisProgramma[104],BasisProgramma[Element],$B13,BasisProgramma[Handeling],$C13)</f>
        <v>52</v>
      </c>
      <c r="H13" s="448">
        <f>SUMIFS(BasisProgramma[52],BasisProgramma[Element],$B13,BasisProgramma[Handeling],$C13)</f>
        <v>0</v>
      </c>
      <c r="I13" s="461">
        <f>SUMIFS(BasisProgramma[4],BasisProgramma[Element],$B13,BasisProgramma[Handeling],$C13)</f>
        <v>0</v>
      </c>
      <c r="J13" s="449"/>
    </row>
    <row r="14" spans="2:10" x14ac:dyDescent="0.2">
      <c r="B14" s="422" t="s">
        <v>720</v>
      </c>
      <c r="C14" s="79" t="s">
        <v>452</v>
      </c>
      <c r="D14" s="447">
        <f>SUMIFS(BasisProgramma[255],BasisProgramma[Element],$B14,BasisProgramma[Handeling],$C14)</f>
        <v>52</v>
      </c>
      <c r="E14" s="448">
        <f>SUMIFS(BasisProgramma[204],BasisProgramma[Element],$B14,BasisProgramma[Handeling],$C14)</f>
        <v>52</v>
      </c>
      <c r="F14" s="448">
        <f>SUMIFS(BasisProgramma[156],BasisProgramma[Element],$B14,BasisProgramma[Handeling],$C14)</f>
        <v>52</v>
      </c>
      <c r="G14" s="448">
        <f>SUMIFS(BasisProgramma[104],BasisProgramma[Element],$B14,BasisProgramma[Handeling],$C14)</f>
        <v>52</v>
      </c>
      <c r="H14" s="448">
        <f>SUMIFS(BasisProgramma[52],BasisProgramma[Element],$B14,BasisProgramma[Handeling],$C14)</f>
        <v>52</v>
      </c>
      <c r="I14" s="461">
        <f>SUMIFS(BasisProgramma[4],BasisProgramma[Element],$B14,BasisProgramma[Handeling],$C14)</f>
        <v>4</v>
      </c>
      <c r="J14" s="449"/>
    </row>
    <row r="15" spans="2:10" x14ac:dyDescent="0.2">
      <c r="B15" s="422" t="s">
        <v>469</v>
      </c>
      <c r="C15" s="79" t="s">
        <v>470</v>
      </c>
      <c r="D15" s="447">
        <f>SUMIFS(BasisProgramma[255],BasisProgramma[Element],$B15,BasisProgramma[Handeling],$C15)</f>
        <v>255</v>
      </c>
      <c r="E15" s="448">
        <f>SUMIFS(BasisProgramma[204],BasisProgramma[Element],$B15,BasisProgramma[Handeling],$C15)</f>
        <v>204</v>
      </c>
      <c r="F15" s="448">
        <f>SUMIFS(BasisProgramma[156],BasisProgramma[Element],$B15,BasisProgramma[Handeling],$C15)</f>
        <v>156</v>
      </c>
      <c r="G15" s="448">
        <f>SUMIFS(BasisProgramma[104],BasisProgramma[Element],$B15,BasisProgramma[Handeling],$C15)</f>
        <v>104</v>
      </c>
      <c r="H15" s="448">
        <f>SUMIFS(BasisProgramma[52],BasisProgramma[Element],$B15,BasisProgramma[Handeling],$C15)</f>
        <v>52</v>
      </c>
      <c r="I15" s="461">
        <f>SUMIFS(BasisProgramma[4],BasisProgramma[Element],$B15,BasisProgramma[Handeling],$C15)</f>
        <v>4</v>
      </c>
      <c r="J15" s="449"/>
    </row>
    <row r="16" spans="2:10" x14ac:dyDescent="0.2">
      <c r="B16" s="422" t="s">
        <v>492</v>
      </c>
      <c r="C16" s="79" t="s">
        <v>490</v>
      </c>
      <c r="D16" s="447">
        <f>SUMIFS(BasisProgramma[255],BasisProgramma[Element],$B16,BasisProgramma[Handeling],$C16)</f>
        <v>203</v>
      </c>
      <c r="E16" s="448">
        <f>SUMIFS(BasisProgramma[204],BasisProgramma[Element],$B16,BasisProgramma[Handeling],$C16)</f>
        <v>152</v>
      </c>
      <c r="F16" s="448">
        <f>SUMIFS(BasisProgramma[156],BasisProgramma[Element],$B16,BasisProgramma[Handeling],$C16)</f>
        <v>104</v>
      </c>
      <c r="G16" s="448">
        <f>SUMIFS(BasisProgramma[104],BasisProgramma[Element],$B16,BasisProgramma[Handeling],$C16)</f>
        <v>52</v>
      </c>
      <c r="H16" s="448">
        <f>SUMIFS(BasisProgramma[52],BasisProgramma[Element],$B16,BasisProgramma[Handeling],$C16)</f>
        <v>0</v>
      </c>
      <c r="I16" s="461">
        <f>SUMIFS(BasisProgramma[4],BasisProgramma[Element],$B16,BasisProgramma[Handeling],$C16)</f>
        <v>0</v>
      </c>
      <c r="J16" s="449"/>
    </row>
    <row r="17" spans="2:10" x14ac:dyDescent="0.2">
      <c r="B17" s="422" t="s">
        <v>492</v>
      </c>
      <c r="C17" s="79" t="s">
        <v>491</v>
      </c>
      <c r="D17" s="447">
        <f>SUMIFS(BasisProgramma[255],BasisProgramma[Element],$B17,BasisProgramma[Handeling],$C17)</f>
        <v>52</v>
      </c>
      <c r="E17" s="448">
        <f>SUMIFS(BasisProgramma[204],BasisProgramma[Element],$B17,BasisProgramma[Handeling],$C17)</f>
        <v>52</v>
      </c>
      <c r="F17" s="448">
        <f>SUMIFS(BasisProgramma[156],BasisProgramma[Element],$B17,BasisProgramma[Handeling],$C17)</f>
        <v>52</v>
      </c>
      <c r="G17" s="448">
        <f>SUMIFS(BasisProgramma[104],BasisProgramma[Element],$B17,BasisProgramma[Handeling],$C17)</f>
        <v>52</v>
      </c>
      <c r="H17" s="448">
        <f>SUMIFS(BasisProgramma[52],BasisProgramma[Element],$B17,BasisProgramma[Handeling],$C17)</f>
        <v>52</v>
      </c>
      <c r="I17" s="461">
        <f>SUMIFS(BasisProgramma[4],BasisProgramma[Element],$B17,BasisProgramma[Handeling],$C17)</f>
        <v>4</v>
      </c>
      <c r="J17" s="449"/>
    </row>
    <row r="18" spans="2:10" x14ac:dyDescent="0.2">
      <c r="B18" s="422" t="s">
        <v>493</v>
      </c>
      <c r="C18" s="79" t="s">
        <v>490</v>
      </c>
      <c r="D18" s="447">
        <f>SUMIFS(BasisProgramma[255],BasisProgramma[Element],$B18,BasisProgramma[Handeling],$C18)</f>
        <v>203</v>
      </c>
      <c r="E18" s="448">
        <f>SUMIFS(BasisProgramma[204],BasisProgramma[Element],$B18,BasisProgramma[Handeling],$C18)</f>
        <v>152</v>
      </c>
      <c r="F18" s="448">
        <f>SUMIFS(BasisProgramma[156],BasisProgramma[Element],$B18,BasisProgramma[Handeling],$C18)</f>
        <v>104</v>
      </c>
      <c r="G18" s="448">
        <f>SUMIFS(BasisProgramma[104],BasisProgramma[Element],$B18,BasisProgramma[Handeling],$C18)</f>
        <v>52</v>
      </c>
      <c r="H18" s="448">
        <f>SUMIFS(BasisProgramma[52],BasisProgramma[Element],$B18,BasisProgramma[Handeling],$C18)</f>
        <v>0</v>
      </c>
      <c r="I18" s="461">
        <f>SUMIFS(BasisProgramma[4],BasisProgramma[Element],$B18,BasisProgramma[Handeling],$C18)</f>
        <v>0</v>
      </c>
      <c r="J18" s="449"/>
    </row>
    <row r="19" spans="2:10" x14ac:dyDescent="0.2">
      <c r="B19" s="422" t="s">
        <v>493</v>
      </c>
      <c r="C19" s="79" t="s">
        <v>491</v>
      </c>
      <c r="D19" s="447">
        <f>SUMIFS(BasisProgramma[255],BasisProgramma[Element],$B19,BasisProgramma[Handeling],$C19)</f>
        <v>52</v>
      </c>
      <c r="E19" s="448">
        <f>SUMIFS(BasisProgramma[204],BasisProgramma[Element],$B19,BasisProgramma[Handeling],$C19)</f>
        <v>52</v>
      </c>
      <c r="F19" s="448">
        <f>SUMIFS(BasisProgramma[156],BasisProgramma[Element],$B19,BasisProgramma[Handeling],$C19)</f>
        <v>52</v>
      </c>
      <c r="G19" s="448">
        <f>SUMIFS(BasisProgramma[104],BasisProgramma[Element],$B19,BasisProgramma[Handeling],$C19)</f>
        <v>52</v>
      </c>
      <c r="H19" s="448">
        <f>SUMIFS(BasisProgramma[52],BasisProgramma[Element],$B19,BasisProgramma[Handeling],$C19)</f>
        <v>52</v>
      </c>
      <c r="I19" s="461">
        <f>SUMIFS(BasisProgramma[4],BasisProgramma[Element],$B19,BasisProgramma[Handeling],$C19)</f>
        <v>4</v>
      </c>
      <c r="J19" s="449"/>
    </row>
    <row r="20" spans="2:10" x14ac:dyDescent="0.2">
      <c r="B20" s="422" t="s">
        <v>485</v>
      </c>
      <c r="C20" s="79" t="s">
        <v>428</v>
      </c>
      <c r="D20" s="447">
        <f>SUMIFS(BasisProgramma[255],BasisProgramma[Element],$B20,BasisProgramma[Handeling],$C20)</f>
        <v>52</v>
      </c>
      <c r="E20" s="448">
        <f>SUMIFS(BasisProgramma[204],BasisProgramma[Element],$B20,BasisProgramma[Handeling],$C20)</f>
        <v>52</v>
      </c>
      <c r="F20" s="448">
        <f>SUMIFS(BasisProgramma[156],BasisProgramma[Element],$B20,BasisProgramma[Handeling],$C20)</f>
        <v>52</v>
      </c>
      <c r="G20" s="448">
        <f>SUMIFS(BasisProgramma[104],BasisProgramma[Element],$B20,BasisProgramma[Handeling],$C20)</f>
        <v>12</v>
      </c>
      <c r="H20" s="448">
        <f>SUMIFS(BasisProgramma[52],BasisProgramma[Element],$B20,BasisProgramma[Handeling],$C20)</f>
        <v>12</v>
      </c>
      <c r="I20" s="461">
        <f>SUMIFS(BasisProgramma[4],BasisProgramma[Element],$B20,BasisProgramma[Handeling],$C20)</f>
        <v>4</v>
      </c>
      <c r="J20" s="449"/>
    </row>
    <row r="21" spans="2:10" x14ac:dyDescent="0.2">
      <c r="B21" s="422" t="s">
        <v>432</v>
      </c>
      <c r="C21" s="79" t="s">
        <v>428</v>
      </c>
      <c r="D21" s="447">
        <f>SUMIFS(BasisProgramma[255],BasisProgramma[Element],$B21,BasisProgramma[Handeling],$C21)</f>
        <v>243</v>
      </c>
      <c r="E21" s="448">
        <f>SUMIFS(BasisProgramma[204],BasisProgramma[Element],$B21,BasisProgramma[Handeling],$C21)</f>
        <v>192</v>
      </c>
      <c r="F21" s="448">
        <f>SUMIFS(BasisProgramma[156],BasisProgramma[Element],$B21,BasisProgramma[Handeling],$C21)</f>
        <v>144</v>
      </c>
      <c r="G21" s="448">
        <f>SUMIFS(BasisProgramma[104],BasisProgramma[Element],$B21,BasisProgramma[Handeling],$C21)</f>
        <v>92</v>
      </c>
      <c r="H21" s="448">
        <f>SUMIFS(BasisProgramma[52],BasisProgramma[Element],$B21,BasisProgramma[Handeling],$C21)</f>
        <v>46</v>
      </c>
      <c r="I21" s="461">
        <f>SUMIFS(BasisProgramma[4],BasisProgramma[Element],$B21,BasisProgramma[Handeling],$C21)</f>
        <v>0</v>
      </c>
      <c r="J21" s="449"/>
    </row>
    <row r="22" spans="2:10" x14ac:dyDescent="0.2">
      <c r="B22" s="422" t="s">
        <v>432</v>
      </c>
      <c r="C22" s="79" t="s">
        <v>433</v>
      </c>
      <c r="D22" s="447">
        <f>SUMIFS(BasisProgramma[255],BasisProgramma[Element],$B22,BasisProgramma[Handeling],$C22)</f>
        <v>243</v>
      </c>
      <c r="E22" s="448">
        <f>SUMIFS(BasisProgramma[204],BasisProgramma[Element],$B22,BasisProgramma[Handeling],$C22)</f>
        <v>192</v>
      </c>
      <c r="F22" s="448">
        <f>SUMIFS(BasisProgramma[156],BasisProgramma[Element],$B22,BasisProgramma[Handeling],$C22)</f>
        <v>144</v>
      </c>
      <c r="G22" s="448">
        <f>SUMIFS(BasisProgramma[104],BasisProgramma[Element],$B22,BasisProgramma[Handeling],$C22)</f>
        <v>92</v>
      </c>
      <c r="H22" s="448">
        <f>SUMIFS(BasisProgramma[52],BasisProgramma[Element],$B22,BasisProgramma[Handeling],$C22)</f>
        <v>46</v>
      </c>
      <c r="I22" s="461">
        <f>SUMIFS(BasisProgramma[4],BasisProgramma[Element],$B22,BasisProgramma[Handeling],$C22)</f>
        <v>0</v>
      </c>
      <c r="J22" s="449"/>
    </row>
    <row r="23" spans="2:10" x14ac:dyDescent="0.2">
      <c r="B23" s="422" t="s">
        <v>432</v>
      </c>
      <c r="C23" s="79" t="s">
        <v>429</v>
      </c>
      <c r="D23" s="447">
        <f>SUMIFS(BasisProgramma[255],BasisProgramma[Element],$B23,BasisProgramma[Handeling],$C23)</f>
        <v>12</v>
      </c>
      <c r="E23" s="448">
        <f>SUMIFS(BasisProgramma[204],BasisProgramma[Element],$B23,BasisProgramma[Handeling],$C23)</f>
        <v>12</v>
      </c>
      <c r="F23" s="448">
        <f>SUMIFS(BasisProgramma[156],BasisProgramma[Element],$B23,BasisProgramma[Handeling],$C23)</f>
        <v>12</v>
      </c>
      <c r="G23" s="448">
        <f>SUMIFS(BasisProgramma[104],BasisProgramma[Element],$B23,BasisProgramma[Handeling],$C23)</f>
        <v>12</v>
      </c>
      <c r="H23" s="448">
        <f>SUMIFS(BasisProgramma[52],BasisProgramma[Element],$B23,BasisProgramma[Handeling],$C23)</f>
        <v>6</v>
      </c>
      <c r="I23" s="461">
        <f>SUMIFS(BasisProgramma[4],BasisProgramma[Element],$B23,BasisProgramma[Handeling],$C23)</f>
        <v>4</v>
      </c>
      <c r="J23" s="449"/>
    </row>
    <row r="24" spans="2:10" x14ac:dyDescent="0.2">
      <c r="B24" s="422" t="s">
        <v>434</v>
      </c>
      <c r="C24" s="79" t="s">
        <v>435</v>
      </c>
      <c r="D24" s="447">
        <f>SUMIFS(BasisProgramma[255],BasisProgramma[Element],$B24,BasisProgramma[Handeling],$C24)</f>
        <v>203</v>
      </c>
      <c r="E24" s="448">
        <f>SUMIFS(BasisProgramma[204],BasisProgramma[Element],$B24,BasisProgramma[Handeling],$C24)</f>
        <v>152</v>
      </c>
      <c r="F24" s="448">
        <f>SUMIFS(BasisProgramma[156],BasisProgramma[Element],$B24,BasisProgramma[Handeling],$C24)</f>
        <v>104</v>
      </c>
      <c r="G24" s="448">
        <f>SUMIFS(BasisProgramma[104],BasisProgramma[Element],$B24,BasisProgramma[Handeling],$C24)</f>
        <v>98</v>
      </c>
      <c r="H24" s="448">
        <f>SUMIFS(BasisProgramma[52],BasisProgramma[Element],$B24,BasisProgramma[Handeling],$C24)</f>
        <v>46</v>
      </c>
      <c r="I24" s="461">
        <f>SUMIFS(BasisProgramma[4],BasisProgramma[Element],$B24,BasisProgramma[Handeling],$C24)</f>
        <v>0</v>
      </c>
      <c r="J24" s="449"/>
    </row>
    <row r="25" spans="2:10" x14ac:dyDescent="0.2">
      <c r="B25" s="422" t="s">
        <v>434</v>
      </c>
      <c r="C25" s="79" t="s">
        <v>429</v>
      </c>
      <c r="D25" s="447">
        <f>SUMIFS(BasisProgramma[255],BasisProgramma[Element],$B25,BasisProgramma[Handeling],$C25)</f>
        <v>52</v>
      </c>
      <c r="E25" s="448">
        <f>SUMIFS(BasisProgramma[204],BasisProgramma[Element],$B25,BasisProgramma[Handeling],$C25)</f>
        <v>52</v>
      </c>
      <c r="F25" s="448">
        <f>SUMIFS(BasisProgramma[156],BasisProgramma[Element],$B25,BasisProgramma[Handeling],$C25)</f>
        <v>52</v>
      </c>
      <c r="G25" s="448">
        <f>SUMIFS(BasisProgramma[104],BasisProgramma[Element],$B25,BasisProgramma[Handeling],$C25)</f>
        <v>12</v>
      </c>
      <c r="H25" s="448">
        <f>SUMIFS(BasisProgramma[52],BasisProgramma[Element],$B25,BasisProgramma[Handeling],$C25)</f>
        <v>12</v>
      </c>
      <c r="I25" s="461">
        <f>SUMIFS(BasisProgramma[4],BasisProgramma[Element],$B25,BasisProgramma[Handeling],$C25)</f>
        <v>4</v>
      </c>
      <c r="J25" s="449"/>
    </row>
    <row r="26" spans="2:10" x14ac:dyDescent="0.2">
      <c r="B26" s="422" t="s">
        <v>474</v>
      </c>
      <c r="C26" s="79" t="s">
        <v>429</v>
      </c>
      <c r="D26" s="447">
        <f>SUMIFS(BasisProgramma[255],BasisProgramma[Element],$B26,BasisProgramma[Handeling],$C26)</f>
        <v>52</v>
      </c>
      <c r="E26" s="448">
        <f>SUMIFS(BasisProgramma[204],BasisProgramma[Element],$B26,BasisProgramma[Handeling],$C26)</f>
        <v>52</v>
      </c>
      <c r="F26" s="448">
        <f>SUMIFS(BasisProgramma[156],BasisProgramma[Element],$B26,BasisProgramma[Handeling],$C26)</f>
        <v>52</v>
      </c>
      <c r="G26" s="448">
        <f>SUMIFS(BasisProgramma[104],BasisProgramma[Element],$B26,BasisProgramma[Handeling],$C26)</f>
        <v>52</v>
      </c>
      <c r="H26" s="448">
        <f>SUMIFS(BasisProgramma[52],BasisProgramma[Element],$B26,BasisProgramma[Handeling],$C26)</f>
        <v>52</v>
      </c>
      <c r="I26" s="461">
        <f>SUMIFS(BasisProgramma[4],BasisProgramma[Element],$B26,BasisProgramma[Handeling],$C26)</f>
        <v>4</v>
      </c>
      <c r="J26" s="449"/>
    </row>
    <row r="27" spans="2:10" x14ac:dyDescent="0.2">
      <c r="B27" s="54" t="s">
        <v>721</v>
      </c>
      <c r="C27" s="79" t="s">
        <v>467</v>
      </c>
      <c r="D27" s="447">
        <f>SUMIFS(BasisProgramma[255],BasisProgramma[Element],$B27,BasisProgramma[Handeling],$C27)</f>
        <v>255</v>
      </c>
      <c r="E27" s="448">
        <f>SUMIFS(BasisProgramma[204],BasisProgramma[Element],$B27,BasisProgramma[Handeling],$C27)</f>
        <v>204</v>
      </c>
      <c r="F27" s="448">
        <f>SUMIFS(BasisProgramma[156],BasisProgramma[Element],$B27,BasisProgramma[Handeling],$C27)</f>
        <v>156</v>
      </c>
      <c r="G27" s="448">
        <f>SUMIFS(BasisProgramma[104],BasisProgramma[Element],$B27,BasisProgramma[Handeling],$C27)</f>
        <v>104</v>
      </c>
      <c r="H27" s="448">
        <f>SUMIFS(BasisProgramma[52],BasisProgramma[Element],$B27,BasisProgramma[Handeling],$C27)</f>
        <v>52</v>
      </c>
      <c r="I27" s="461">
        <f>SUMIFS(BasisProgramma[4],BasisProgramma[Element],$B27,BasisProgramma[Handeling],$C27)</f>
        <v>4</v>
      </c>
      <c r="J27" s="449"/>
    </row>
    <row r="28" spans="2:10" x14ac:dyDescent="0.2">
      <c r="B28" s="54" t="s">
        <v>721</v>
      </c>
      <c r="C28" s="79" t="s">
        <v>452</v>
      </c>
      <c r="D28" s="447">
        <f>SUMIFS(BasisProgramma[255],BasisProgramma[Element],$B28,BasisProgramma[Handeling],$C28)</f>
        <v>255</v>
      </c>
      <c r="E28" s="448">
        <f>SUMIFS(BasisProgramma[204],BasisProgramma[Element],$B28,BasisProgramma[Handeling],$C28)</f>
        <v>204</v>
      </c>
      <c r="F28" s="448">
        <f>SUMIFS(BasisProgramma[156],BasisProgramma[Element],$B28,BasisProgramma[Handeling],$C28)</f>
        <v>156</v>
      </c>
      <c r="G28" s="448">
        <f>SUMIFS(BasisProgramma[104],BasisProgramma[Element],$B28,BasisProgramma[Handeling],$C28)</f>
        <v>104</v>
      </c>
      <c r="H28" s="448">
        <f>SUMIFS(BasisProgramma[52],BasisProgramma[Element],$B28,BasisProgramma[Handeling],$C28)</f>
        <v>52</v>
      </c>
      <c r="I28" s="461">
        <f>SUMIFS(BasisProgramma[4],BasisProgramma[Element],$B28,BasisProgramma[Handeling],$C28)</f>
        <v>4</v>
      </c>
      <c r="J28" s="449"/>
    </row>
    <row r="29" spans="2:10" x14ac:dyDescent="0.2">
      <c r="B29" s="422" t="s">
        <v>436</v>
      </c>
      <c r="C29" s="79" t="s">
        <v>429</v>
      </c>
      <c r="D29" s="447">
        <f>SUMIFS(BasisProgramma[255],BasisProgramma[Element],$B29,BasisProgramma[Handeling],$C29)</f>
        <v>52</v>
      </c>
      <c r="E29" s="448">
        <f>SUMIFS(BasisProgramma[204],BasisProgramma[Element],$B29,BasisProgramma[Handeling],$C29)</f>
        <v>52</v>
      </c>
      <c r="F29" s="448">
        <f>SUMIFS(BasisProgramma[156],BasisProgramma[Element],$B29,BasisProgramma[Handeling],$C29)</f>
        <v>52</v>
      </c>
      <c r="G29" s="448">
        <f>SUMIFS(BasisProgramma[104],BasisProgramma[Element],$B29,BasisProgramma[Handeling],$C29)</f>
        <v>52</v>
      </c>
      <c r="H29" s="448">
        <f>SUMIFS(BasisProgramma[52],BasisProgramma[Element],$B29,BasisProgramma[Handeling],$C29)</f>
        <v>52</v>
      </c>
      <c r="I29" s="461">
        <f>SUMIFS(BasisProgramma[4],BasisProgramma[Element],$B29,BasisProgramma[Handeling],$C29)</f>
        <v>4</v>
      </c>
      <c r="J29" s="449"/>
    </row>
    <row r="30" spans="2:10" x14ac:dyDescent="0.2">
      <c r="B30" s="422" t="s">
        <v>437</v>
      </c>
      <c r="C30" s="8" t="s">
        <v>738</v>
      </c>
      <c r="D30" s="450">
        <f>SUMIFS(BasisProgramma[255],BasisProgramma[Element],$B30,BasisProgramma[Handeling],$C30)</f>
        <v>251</v>
      </c>
      <c r="E30" s="451">
        <f>SUMIFS(BasisProgramma[204],BasisProgramma[Element],$B30,BasisProgramma[Handeling],$C30)</f>
        <v>200</v>
      </c>
      <c r="F30" s="451">
        <f>SUMIFS(BasisProgramma[156],BasisProgramma[Element],$B30,BasisProgramma[Handeling],$C30)</f>
        <v>152</v>
      </c>
      <c r="G30" s="451">
        <f>SUMIFS(BasisProgramma[104],BasisProgramma[Element],$B30,BasisProgramma[Handeling],$C30)</f>
        <v>100</v>
      </c>
      <c r="H30" s="451">
        <f>SUMIFS(BasisProgramma[52],BasisProgramma[Element],$B30,BasisProgramma[Handeling],$C30)</f>
        <v>50</v>
      </c>
      <c r="I30" s="462">
        <f>SUMIFS(BasisProgramma[4],BasisProgramma[Element],$B30,BasisProgramma[Handeling],$C30)</f>
        <v>0</v>
      </c>
      <c r="J30" s="452"/>
    </row>
    <row r="31" spans="2:10" x14ac:dyDescent="0.2">
      <c r="B31" s="422" t="s">
        <v>437</v>
      </c>
      <c r="C31" s="8" t="s">
        <v>739</v>
      </c>
      <c r="D31" s="450">
        <f>SUMIFS(BasisProgramma[255],BasisProgramma[Element],$B31,BasisProgramma[Handeling],$C31)</f>
        <v>40</v>
      </c>
      <c r="E31" s="451">
        <f>SUMIFS(BasisProgramma[204],BasisProgramma[Element],$B31,BasisProgramma[Handeling],$C31)</f>
        <v>40</v>
      </c>
      <c r="F31" s="451">
        <f>SUMIFS(BasisProgramma[156],BasisProgramma[Element],$B31,BasisProgramma[Handeling],$C31)</f>
        <v>40</v>
      </c>
      <c r="G31" s="451">
        <f>SUMIFS(BasisProgramma[104],BasisProgramma[Element],$B31,BasisProgramma[Handeling],$C31)</f>
        <v>40</v>
      </c>
      <c r="H31" s="451">
        <f>SUMIFS(BasisProgramma[52],BasisProgramma[Element],$B31,BasisProgramma[Handeling],$C31)</f>
        <v>40</v>
      </c>
      <c r="I31" s="462">
        <f>SUMIFS(BasisProgramma[4],BasisProgramma[Element],$B31,BasisProgramma[Handeling],$C31)</f>
        <v>0</v>
      </c>
      <c r="J31" s="452"/>
    </row>
    <row r="32" spans="2:10" x14ac:dyDescent="0.2">
      <c r="B32" s="422" t="s">
        <v>438</v>
      </c>
      <c r="C32" s="79" t="s">
        <v>439</v>
      </c>
      <c r="D32" s="450">
        <f>SUMIFS(BasisProgramma[255],BasisProgramma[Element],$B32,BasisProgramma[Handeling],$C32)</f>
        <v>8</v>
      </c>
      <c r="E32" s="451">
        <f>SUMIFS(BasisProgramma[204],BasisProgramma[Element],$B32,BasisProgramma[Handeling],$C32)</f>
        <v>8</v>
      </c>
      <c r="F32" s="451">
        <f>SUMIFS(BasisProgramma[156],BasisProgramma[Element],$B32,BasisProgramma[Handeling],$C32)</f>
        <v>8</v>
      </c>
      <c r="G32" s="451">
        <f>SUMIFS(BasisProgramma[104],BasisProgramma[Element],$B32,BasisProgramma[Handeling],$C32)</f>
        <v>8</v>
      </c>
      <c r="H32" s="451">
        <f>SUMIFS(BasisProgramma[52],BasisProgramma[Element],$B32,BasisProgramma[Handeling],$C32)</f>
        <v>4</v>
      </c>
      <c r="I32" s="462">
        <f>SUMIFS(BasisProgramma[4],BasisProgramma[Element],$B32,BasisProgramma[Handeling],$C32)</f>
        <v>0</v>
      </c>
      <c r="J32" s="452"/>
    </row>
    <row r="33" spans="2:10" x14ac:dyDescent="0.2">
      <c r="B33" s="422" t="s">
        <v>437</v>
      </c>
      <c r="C33" s="79" t="s">
        <v>429</v>
      </c>
      <c r="D33" s="450">
        <f>SUMIFS(BasisProgramma[255],BasisProgramma[Element],$B33,BasisProgramma[Handeling],$C33)</f>
        <v>4</v>
      </c>
      <c r="E33" s="451">
        <f>SUMIFS(BasisProgramma[204],BasisProgramma[Element],$B33,BasisProgramma[Handeling],$C33)</f>
        <v>4</v>
      </c>
      <c r="F33" s="451">
        <f>SUMIFS(BasisProgramma[156],BasisProgramma[Element],$B33,BasisProgramma[Handeling],$C33)</f>
        <v>4</v>
      </c>
      <c r="G33" s="451">
        <f>SUMIFS(BasisProgramma[104],BasisProgramma[Element],$B33,BasisProgramma[Handeling],$C33)</f>
        <v>4</v>
      </c>
      <c r="H33" s="451">
        <f>SUMIFS(BasisProgramma[52],BasisProgramma[Element],$B33,BasisProgramma[Handeling],$C33)</f>
        <v>2</v>
      </c>
      <c r="I33" s="462">
        <f>SUMIFS(BasisProgramma[4],BasisProgramma[Element],$B33,BasisProgramma[Handeling],$C33)</f>
        <v>4</v>
      </c>
      <c r="J33" s="452"/>
    </row>
    <row r="34" spans="2:10" x14ac:dyDescent="0.2">
      <c r="B34" s="422" t="s">
        <v>440</v>
      </c>
      <c r="C34" s="79" t="s">
        <v>740</v>
      </c>
      <c r="D34" s="450">
        <f>SUMIFS(BasisProgramma[255],BasisProgramma[Element],$B34,BasisProgramma[Handeling],$C34)</f>
        <v>251</v>
      </c>
      <c r="E34" s="451">
        <f>SUMIFS(BasisProgramma[204],BasisProgramma[Element],$B34,BasisProgramma[Handeling],$C34)</f>
        <v>200</v>
      </c>
      <c r="F34" s="451">
        <f>SUMIFS(BasisProgramma[156],BasisProgramma[Element],$B34,BasisProgramma[Handeling],$C34)</f>
        <v>152</v>
      </c>
      <c r="G34" s="451">
        <f>SUMIFS(BasisProgramma[104],BasisProgramma[Element],$B34,BasisProgramma[Handeling],$C34)</f>
        <v>100</v>
      </c>
      <c r="H34" s="451">
        <f>SUMIFS(BasisProgramma[52],BasisProgramma[Element],$B34,BasisProgramma[Handeling],$C34)</f>
        <v>50</v>
      </c>
      <c r="I34" s="461">
        <f>SUMIFS(BasisProgramma[4],BasisProgramma[Element],$B34,BasisProgramma[Handeling],$C34)</f>
        <v>0</v>
      </c>
      <c r="J34" s="449"/>
    </row>
    <row r="35" spans="2:10" x14ac:dyDescent="0.2">
      <c r="B35" s="422" t="s">
        <v>440</v>
      </c>
      <c r="C35" s="79" t="s">
        <v>429</v>
      </c>
      <c r="D35" s="450">
        <f>SUMIFS(BasisProgramma[255],BasisProgramma[Element],$B35,BasisProgramma[Handeling],$C35)</f>
        <v>4</v>
      </c>
      <c r="E35" s="451">
        <f>SUMIFS(BasisProgramma[204],BasisProgramma[Element],$B35,BasisProgramma[Handeling],$C35)</f>
        <v>4</v>
      </c>
      <c r="F35" s="451">
        <f>SUMIFS(BasisProgramma[156],BasisProgramma[Element],$B35,BasisProgramma[Handeling],$C35)</f>
        <v>4</v>
      </c>
      <c r="G35" s="451">
        <f>SUMIFS(BasisProgramma[104],BasisProgramma[Element],$B35,BasisProgramma[Handeling],$C35)</f>
        <v>4</v>
      </c>
      <c r="H35" s="451">
        <f>SUMIFS(BasisProgramma[52],BasisProgramma[Element],$B35,BasisProgramma[Handeling],$C35)</f>
        <v>2</v>
      </c>
      <c r="I35" s="461">
        <f>SUMIFS(BasisProgramma[4],BasisProgramma[Element],$B35,BasisProgramma[Handeling],$C35)</f>
        <v>4</v>
      </c>
      <c r="J35" s="449"/>
    </row>
    <row r="36" spans="2:10" x14ac:dyDescent="0.2">
      <c r="B36" s="422" t="s">
        <v>476</v>
      </c>
      <c r="C36" s="79" t="s">
        <v>441</v>
      </c>
      <c r="D36" s="447">
        <f>SUMIFS(BasisProgramma[255],BasisProgramma[Element],$B36,BasisProgramma[Handeling],$C36)</f>
        <v>52</v>
      </c>
      <c r="E36" s="448">
        <f>SUMIFS(BasisProgramma[204],BasisProgramma[Element],$B36,BasisProgramma[Handeling],$C36)</f>
        <v>52</v>
      </c>
      <c r="F36" s="448">
        <f>SUMIFS(BasisProgramma[156],BasisProgramma[Element],$B36,BasisProgramma[Handeling],$C36)</f>
        <v>52</v>
      </c>
      <c r="G36" s="448">
        <f>SUMIFS(BasisProgramma[104],BasisProgramma[Element],$B36,BasisProgramma[Handeling],$C36)</f>
        <v>12</v>
      </c>
      <c r="H36" s="448">
        <f>SUMIFS(BasisProgramma[52],BasisProgramma[Element],$B36,BasisProgramma[Handeling],$C36)</f>
        <v>12</v>
      </c>
      <c r="I36" s="461">
        <f>SUMIFS(BasisProgramma[4],BasisProgramma[Element],$B36,BasisProgramma[Handeling],$C36)</f>
        <v>4</v>
      </c>
      <c r="J36" s="449"/>
    </row>
    <row r="37" spans="2:10" x14ac:dyDescent="0.2">
      <c r="B37" s="422" t="s">
        <v>442</v>
      </c>
      <c r="C37" s="79" t="s">
        <v>443</v>
      </c>
      <c r="D37" s="447">
        <f>SUMIFS(BasisProgramma[255],BasisProgramma[Element],$B37,BasisProgramma[Handeling],$C37)</f>
        <v>2</v>
      </c>
      <c r="E37" s="448">
        <f>SUMIFS(BasisProgramma[204],BasisProgramma[Element],$B37,BasisProgramma[Handeling],$C37)</f>
        <v>2</v>
      </c>
      <c r="F37" s="448">
        <f>SUMIFS(BasisProgramma[156],BasisProgramma[Element],$B37,BasisProgramma[Handeling],$C37)</f>
        <v>2</v>
      </c>
      <c r="G37" s="448">
        <f>SUMIFS(BasisProgramma[104],BasisProgramma[Element],$B37,BasisProgramma[Handeling],$C37)</f>
        <v>2</v>
      </c>
      <c r="H37" s="448">
        <f>SUMIFS(BasisProgramma[52],BasisProgramma[Element],$B37,BasisProgramma[Handeling],$C37)</f>
        <v>2</v>
      </c>
      <c r="I37" s="461">
        <f>SUMIFS(BasisProgramma[4],BasisProgramma[Element],$B37,BasisProgramma[Handeling],$C37)</f>
        <v>2</v>
      </c>
      <c r="J37" s="449"/>
    </row>
    <row r="38" spans="2:10" x14ac:dyDescent="0.2">
      <c r="B38" s="422" t="s">
        <v>500</v>
      </c>
      <c r="C38" s="79" t="s">
        <v>428</v>
      </c>
      <c r="D38" s="447">
        <f>SUMIFS(BasisProgramma[255],BasisProgramma[Element],$B38,BasisProgramma[Handeling],$C38)</f>
        <v>243</v>
      </c>
      <c r="E38" s="448">
        <f>SUMIFS(BasisProgramma[204],BasisProgramma[Element],$B38,BasisProgramma[Handeling],$C38)</f>
        <v>192</v>
      </c>
      <c r="F38" s="448">
        <f>SUMIFS(BasisProgramma[156],BasisProgramma[Element],$B38,BasisProgramma[Handeling],$C38)</f>
        <v>144</v>
      </c>
      <c r="G38" s="448">
        <f>SUMIFS(BasisProgramma[104],BasisProgramma[Element],$B38,BasisProgramma[Handeling],$C38)</f>
        <v>92</v>
      </c>
      <c r="H38" s="448">
        <f>SUMIFS(BasisProgramma[52],BasisProgramma[Element],$B38,BasisProgramma[Handeling],$C38)</f>
        <v>46</v>
      </c>
      <c r="I38" s="461">
        <f>SUMIFS(BasisProgramma[4],BasisProgramma[Element],$B38,BasisProgramma[Handeling],$C38)</f>
        <v>0</v>
      </c>
      <c r="J38" s="449"/>
    </row>
    <row r="39" spans="2:10" x14ac:dyDescent="0.2">
      <c r="B39" s="422" t="s">
        <v>500</v>
      </c>
      <c r="C39" s="79" t="s">
        <v>452</v>
      </c>
      <c r="D39" s="447">
        <f>SUMIFS(BasisProgramma[255],BasisProgramma[Element],$B39,BasisProgramma[Handeling],$C39)</f>
        <v>12</v>
      </c>
      <c r="E39" s="448">
        <f>SUMIFS(BasisProgramma[204],BasisProgramma[Element],$B39,BasisProgramma[Handeling],$C39)</f>
        <v>12</v>
      </c>
      <c r="F39" s="448">
        <f>SUMIFS(BasisProgramma[156],BasisProgramma[Element],$B39,BasisProgramma[Handeling],$C39)</f>
        <v>12</v>
      </c>
      <c r="G39" s="448">
        <f>SUMIFS(BasisProgramma[104],BasisProgramma[Element],$B39,BasisProgramma[Handeling],$C39)</f>
        <v>12</v>
      </c>
      <c r="H39" s="448">
        <f>SUMIFS(BasisProgramma[52],BasisProgramma[Element],$B39,BasisProgramma[Handeling],$C39)</f>
        <v>6</v>
      </c>
      <c r="I39" s="461">
        <f>SUMIFS(BasisProgramma[4],BasisProgramma[Element],$B39,BasisProgramma[Handeling],$C39)</f>
        <v>4</v>
      </c>
      <c r="J39" s="449"/>
    </row>
    <row r="40" spans="2:10" x14ac:dyDescent="0.2">
      <c r="B40" s="422" t="s">
        <v>501</v>
      </c>
      <c r="C40" s="79" t="s">
        <v>441</v>
      </c>
      <c r="D40" s="447">
        <f>SUMIFS(BasisProgramma[255],BasisProgramma[Element],$B40,BasisProgramma[Handeling],$C40)</f>
        <v>52</v>
      </c>
      <c r="E40" s="448">
        <f>SUMIFS(BasisProgramma[204],BasisProgramma[Element],$B40,BasisProgramma[Handeling],$C40)</f>
        <v>52</v>
      </c>
      <c r="F40" s="448">
        <f>SUMIFS(BasisProgramma[156],BasisProgramma[Element],$B40,BasisProgramma[Handeling],$C40)</f>
        <v>52</v>
      </c>
      <c r="G40" s="448">
        <f>SUMIFS(BasisProgramma[104],BasisProgramma[Element],$B40,BasisProgramma[Handeling],$C40)</f>
        <v>52</v>
      </c>
      <c r="H40" s="448">
        <f>SUMIFS(BasisProgramma[52],BasisProgramma[Element],$B40,BasisProgramma[Handeling],$C40)</f>
        <v>52</v>
      </c>
      <c r="I40" s="461">
        <f>SUMIFS(BasisProgramma[4],BasisProgramma[Element],$B40,BasisProgramma[Handeling],$C40)</f>
        <v>4</v>
      </c>
      <c r="J40" s="449"/>
    </row>
    <row r="41" spans="2:10" x14ac:dyDescent="0.2">
      <c r="B41" s="54" t="s">
        <v>728</v>
      </c>
      <c r="C41" s="79" t="s">
        <v>441</v>
      </c>
      <c r="D41" s="447">
        <f>SUMIFS(BasisProgramma[255],BasisProgramma[Element],$B41,BasisProgramma[Handeling],$C41)</f>
        <v>255</v>
      </c>
      <c r="E41" s="448">
        <f>SUMIFS(BasisProgramma[204],BasisProgramma[Element],$B41,BasisProgramma[Handeling],$C41)</f>
        <v>204</v>
      </c>
      <c r="F41" s="448">
        <f>SUMIFS(BasisProgramma[156],BasisProgramma[Element],$B41,BasisProgramma[Handeling],$C41)</f>
        <v>156</v>
      </c>
      <c r="G41" s="448">
        <f>SUMIFS(BasisProgramma[104],BasisProgramma[Element],$B41,BasisProgramma[Handeling],$C41)</f>
        <v>104</v>
      </c>
      <c r="H41" s="448">
        <f>SUMIFS(BasisProgramma[52],BasisProgramma[Element],$B41,BasisProgramma[Handeling],$C41)</f>
        <v>52</v>
      </c>
      <c r="I41" s="461">
        <f>SUMIFS(BasisProgramma[4],BasisProgramma[Element],$B41,BasisProgramma[Handeling],$C41)</f>
        <v>4</v>
      </c>
      <c r="J41" s="449"/>
    </row>
    <row r="42" spans="2:10" x14ac:dyDescent="0.2">
      <c r="B42" s="422" t="s">
        <v>487</v>
      </c>
      <c r="C42" s="79" t="s">
        <v>428</v>
      </c>
      <c r="D42" s="447">
        <f>SUMIFS(BasisProgramma[255],BasisProgramma[Element],$B42,BasisProgramma[Handeling],$C42)</f>
        <v>255</v>
      </c>
      <c r="E42" s="448">
        <f>SUMIFS(BasisProgramma[204],BasisProgramma[Element],$B42,BasisProgramma[Handeling],$C42)</f>
        <v>204</v>
      </c>
      <c r="F42" s="448">
        <f>SUMIFS(BasisProgramma[156],BasisProgramma[Element],$B42,BasisProgramma[Handeling],$C42)</f>
        <v>156</v>
      </c>
      <c r="G42" s="448">
        <f>SUMIFS(BasisProgramma[104],BasisProgramma[Element],$B42,BasisProgramma[Handeling],$C42)</f>
        <v>104</v>
      </c>
      <c r="H42" s="448">
        <f>SUMIFS(BasisProgramma[52],BasisProgramma[Element],$B42,BasisProgramma[Handeling],$C42)</f>
        <v>52</v>
      </c>
      <c r="I42" s="461">
        <f>SUMIFS(BasisProgramma[4],BasisProgramma[Element],$B42,BasisProgramma[Handeling],$C42)</f>
        <v>4</v>
      </c>
      <c r="J42" s="449"/>
    </row>
    <row r="43" spans="2:10" x14ac:dyDescent="0.2">
      <c r="B43" s="422" t="s">
        <v>444</v>
      </c>
      <c r="C43" s="79" t="s">
        <v>435</v>
      </c>
      <c r="D43" s="447">
        <f>SUMIFS(BasisProgramma[255],BasisProgramma[Element],$B43,BasisProgramma[Handeling],$C43)</f>
        <v>255</v>
      </c>
      <c r="E43" s="448">
        <f>SUMIFS(BasisProgramma[204],BasisProgramma[Element],$B43,BasisProgramma[Handeling],$C43)</f>
        <v>204</v>
      </c>
      <c r="F43" s="448">
        <f>SUMIFS(BasisProgramma[156],BasisProgramma[Element],$B43,BasisProgramma[Handeling],$C43)</f>
        <v>156</v>
      </c>
      <c r="G43" s="448">
        <f>SUMIFS(BasisProgramma[104],BasisProgramma[Element],$B43,BasisProgramma[Handeling],$C43)</f>
        <v>104</v>
      </c>
      <c r="H43" s="448">
        <f>SUMIFS(BasisProgramma[52],BasisProgramma[Element],$B43,BasisProgramma[Handeling],$C43)</f>
        <v>52</v>
      </c>
      <c r="I43" s="461">
        <f>SUMIFS(BasisProgramma[4],BasisProgramma[Element],$B43,BasisProgramma[Handeling],$C43)</f>
        <v>4</v>
      </c>
      <c r="J43" s="449"/>
    </row>
    <row r="44" spans="2:10" x14ac:dyDescent="0.2">
      <c r="B44" s="422" t="s">
        <v>445</v>
      </c>
      <c r="C44" s="79" t="s">
        <v>446</v>
      </c>
      <c r="D44" s="447">
        <f>SUMIFS(BasisProgramma[255],BasisProgramma[Element],$B44,BasisProgramma[Handeling],$C44)</f>
        <v>255</v>
      </c>
      <c r="E44" s="448">
        <f>SUMIFS(BasisProgramma[204],BasisProgramma[Element],$B44,BasisProgramma[Handeling],$C44)</f>
        <v>204</v>
      </c>
      <c r="F44" s="448">
        <f>SUMIFS(BasisProgramma[156],BasisProgramma[Element],$B44,BasisProgramma[Handeling],$C44)</f>
        <v>156</v>
      </c>
      <c r="G44" s="448">
        <f>SUMIFS(BasisProgramma[104],BasisProgramma[Element],$B44,BasisProgramma[Handeling],$C44)</f>
        <v>104</v>
      </c>
      <c r="H44" s="448">
        <f>SUMIFS(BasisProgramma[52],BasisProgramma[Element],$B44,BasisProgramma[Handeling],$C44)</f>
        <v>52</v>
      </c>
      <c r="I44" s="461">
        <f>SUMIFS(BasisProgramma[4],BasisProgramma[Element],$B44,BasisProgramma[Handeling],$C44)</f>
        <v>4</v>
      </c>
      <c r="J44" s="449"/>
    </row>
    <row r="45" spans="2:10" x14ac:dyDescent="0.2">
      <c r="B45" s="422" t="s">
        <v>495</v>
      </c>
      <c r="C45" s="79" t="s">
        <v>496</v>
      </c>
      <c r="D45" s="447">
        <f>SUMIFS(BasisProgramma[255],BasisProgramma[Element],$B45,BasisProgramma[Handeling],$C45)</f>
        <v>203</v>
      </c>
      <c r="E45" s="448">
        <f>SUMIFS(BasisProgramma[204],BasisProgramma[Element],$B45,BasisProgramma[Handeling],$C45)</f>
        <v>152</v>
      </c>
      <c r="F45" s="448">
        <f>SUMIFS(BasisProgramma[156],BasisProgramma[Element],$B45,BasisProgramma[Handeling],$C45)</f>
        <v>104</v>
      </c>
      <c r="G45" s="448">
        <f>SUMIFS(BasisProgramma[104],BasisProgramma[Element],$B45,BasisProgramma[Handeling],$C45)</f>
        <v>92</v>
      </c>
      <c r="H45" s="448">
        <f>SUMIFS(BasisProgramma[52],BasisProgramma[Element],$B45,BasisProgramma[Handeling],$C45)</f>
        <v>40</v>
      </c>
      <c r="I45" s="461">
        <f>SUMIFS(BasisProgramma[4],BasisProgramma[Element],$B45,BasisProgramma[Handeling],$C45)</f>
        <v>0</v>
      </c>
      <c r="J45" s="449"/>
    </row>
    <row r="46" spans="2:10" x14ac:dyDescent="0.2">
      <c r="B46" s="422" t="s">
        <v>495</v>
      </c>
      <c r="C46" s="79" t="s">
        <v>497</v>
      </c>
      <c r="D46" s="447">
        <f>SUMIFS(BasisProgramma[255],BasisProgramma[Element],$B46,BasisProgramma[Handeling],$C46)</f>
        <v>52</v>
      </c>
      <c r="E46" s="448">
        <f>SUMIFS(BasisProgramma[204],BasisProgramma[Element],$B46,BasisProgramma[Handeling],$C46)</f>
        <v>52</v>
      </c>
      <c r="F46" s="448">
        <f>SUMIFS(BasisProgramma[156],BasisProgramma[Element],$B46,BasisProgramma[Handeling],$C46)</f>
        <v>52</v>
      </c>
      <c r="G46" s="448">
        <f>SUMIFS(BasisProgramma[104],BasisProgramma[Element],$B46,BasisProgramma[Handeling],$C46)</f>
        <v>12</v>
      </c>
      <c r="H46" s="448">
        <f>SUMIFS(BasisProgramma[52],BasisProgramma[Element],$B46,BasisProgramma[Handeling],$C46)</f>
        <v>12</v>
      </c>
      <c r="I46" s="461">
        <f>SUMIFS(BasisProgramma[4],BasisProgramma[Element],$B46,BasisProgramma[Handeling],$C46)</f>
        <v>4</v>
      </c>
      <c r="J46" s="449"/>
    </row>
    <row r="47" spans="2:10" x14ac:dyDescent="0.2">
      <c r="B47" s="422" t="s">
        <v>447</v>
      </c>
      <c r="C47" s="79" t="s">
        <v>498</v>
      </c>
      <c r="D47" s="447">
        <f>SUMIFS(BasisProgramma[255],BasisProgramma[Element],$B47,BasisProgramma[Handeling],$C47)</f>
        <v>255</v>
      </c>
      <c r="E47" s="448">
        <f>SUMIFS(BasisProgramma[204],BasisProgramma[Element],$B47,BasisProgramma[Handeling],$C47)</f>
        <v>204</v>
      </c>
      <c r="F47" s="448">
        <f>SUMIFS(BasisProgramma[156],BasisProgramma[Element],$B47,BasisProgramma[Handeling],$C47)</f>
        <v>156</v>
      </c>
      <c r="G47" s="448">
        <f>SUMIFS(BasisProgramma[104],BasisProgramma[Element],$B47,BasisProgramma[Handeling],$C47)</f>
        <v>104</v>
      </c>
      <c r="H47" s="448">
        <f>SUMIFS(BasisProgramma[52],BasisProgramma[Element],$B47,BasisProgramma[Handeling],$C47)</f>
        <v>52</v>
      </c>
      <c r="I47" s="461">
        <f>SUMIFS(BasisProgramma[4],BasisProgramma[Element],$B47,BasisProgramma[Handeling],$C47)</f>
        <v>4</v>
      </c>
      <c r="J47" s="449"/>
    </row>
    <row r="48" spans="2:10" x14ac:dyDescent="0.2">
      <c r="B48" s="422" t="s">
        <v>448</v>
      </c>
      <c r="C48" s="79" t="s">
        <v>428</v>
      </c>
      <c r="D48" s="447">
        <f>SUMIFS(BasisProgramma[255],BasisProgramma[Element],$B48,BasisProgramma[Handeling],$C48)</f>
        <v>40</v>
      </c>
      <c r="E48" s="448">
        <f>SUMIFS(BasisProgramma[204],BasisProgramma[Element],$B48,BasisProgramma[Handeling],$C48)</f>
        <v>40</v>
      </c>
      <c r="F48" s="448">
        <f>SUMIFS(BasisProgramma[156],BasisProgramma[Element],$B48,BasisProgramma[Handeling],$C48)</f>
        <v>40</v>
      </c>
      <c r="G48" s="448">
        <f>SUMIFS(BasisProgramma[104],BasisProgramma[Element],$B48,BasisProgramma[Handeling],$C48)</f>
        <v>40</v>
      </c>
      <c r="H48" s="448">
        <f>SUMIFS(BasisProgramma[52],BasisProgramma[Element],$B48,BasisProgramma[Handeling],$C48)</f>
        <v>40</v>
      </c>
      <c r="I48" s="461">
        <f>SUMIFS(BasisProgramma[4],BasisProgramma[Element],$B48,BasisProgramma[Handeling],$C48)</f>
        <v>0</v>
      </c>
      <c r="J48" s="449"/>
    </row>
    <row r="49" spans="2:10" x14ac:dyDescent="0.2">
      <c r="B49" s="422" t="s">
        <v>448</v>
      </c>
      <c r="C49" s="79" t="s">
        <v>452</v>
      </c>
      <c r="D49" s="447">
        <f>SUMIFS(BasisProgramma[255],BasisProgramma[Element],$B49,BasisProgramma[Handeling],$C49)</f>
        <v>12</v>
      </c>
      <c r="E49" s="448">
        <f>SUMIFS(BasisProgramma[204],BasisProgramma[Element],$B49,BasisProgramma[Handeling],$C49)</f>
        <v>12</v>
      </c>
      <c r="F49" s="448">
        <f>SUMIFS(BasisProgramma[156],BasisProgramma[Element],$B49,BasisProgramma[Handeling],$C49)</f>
        <v>12</v>
      </c>
      <c r="G49" s="448">
        <f>SUMIFS(BasisProgramma[104],BasisProgramma[Element],$B49,BasisProgramma[Handeling],$C49)</f>
        <v>12</v>
      </c>
      <c r="H49" s="448">
        <f>SUMIFS(BasisProgramma[52],BasisProgramma[Element],$B49,BasisProgramma[Handeling],$C49)</f>
        <v>12</v>
      </c>
      <c r="I49" s="461">
        <f>SUMIFS(BasisProgramma[4],BasisProgramma[Element],$B49,BasisProgramma[Handeling],$C49)</f>
        <v>4</v>
      </c>
      <c r="J49" s="449"/>
    </row>
    <row r="50" spans="2:10" x14ac:dyDescent="0.2">
      <c r="B50" s="422" t="s">
        <v>481</v>
      </c>
      <c r="C50" s="79" t="s">
        <v>499</v>
      </c>
      <c r="D50" s="447">
        <f>SUMIFS(BasisProgramma[255],BasisProgramma[Element],$B50,BasisProgramma[Handeling],$C50)</f>
        <v>104</v>
      </c>
      <c r="E50" s="448">
        <f>SUMIFS(BasisProgramma[204],BasisProgramma[Element],$B50,BasisProgramma[Handeling],$C50)</f>
        <v>104</v>
      </c>
      <c r="F50" s="448">
        <f>SUMIFS(BasisProgramma[156],BasisProgramma[Element],$B50,BasisProgramma[Handeling],$C50)</f>
        <v>104</v>
      </c>
      <c r="G50" s="448">
        <f>SUMIFS(BasisProgramma[104],BasisProgramma[Element],$B50,BasisProgramma[Handeling],$C50)</f>
        <v>52</v>
      </c>
      <c r="H50" s="448">
        <f>SUMIFS(BasisProgramma[52],BasisProgramma[Element],$B50,BasisProgramma[Handeling],$C50)</f>
        <v>0</v>
      </c>
      <c r="I50" s="461">
        <f>SUMIFS(BasisProgramma[4],BasisProgramma[Element],$B50,BasisProgramma[Handeling],$C50)</f>
        <v>0</v>
      </c>
      <c r="J50" s="449"/>
    </row>
    <row r="51" spans="2:10" x14ac:dyDescent="0.2">
      <c r="B51" s="422" t="s">
        <v>450</v>
      </c>
      <c r="C51" s="79" t="s">
        <v>428</v>
      </c>
      <c r="D51" s="447">
        <f>SUMIFS(BasisProgramma[255],BasisProgramma[Element],$B51,BasisProgramma[Handeling],$C51)</f>
        <v>40</v>
      </c>
      <c r="E51" s="448">
        <f>SUMIFS(BasisProgramma[204],BasisProgramma[Element],$B51,BasisProgramma[Handeling],$C51)</f>
        <v>40</v>
      </c>
      <c r="F51" s="448">
        <f>SUMIFS(BasisProgramma[156],BasisProgramma[Element],$B51,BasisProgramma[Handeling],$C51)</f>
        <v>40</v>
      </c>
      <c r="G51" s="448">
        <f>SUMIFS(BasisProgramma[104],BasisProgramma[Element],$B51,BasisProgramma[Handeling],$C51)</f>
        <v>40</v>
      </c>
      <c r="H51" s="448">
        <f>SUMIFS(BasisProgramma[52],BasisProgramma[Element],$B51,BasisProgramma[Handeling],$C51)</f>
        <v>40</v>
      </c>
      <c r="I51" s="461">
        <f>SUMIFS(BasisProgramma[4],BasisProgramma[Element],$B51,BasisProgramma[Handeling],$C51)</f>
        <v>0</v>
      </c>
      <c r="J51" s="449"/>
    </row>
    <row r="52" spans="2:10" x14ac:dyDescent="0.2">
      <c r="B52" s="422" t="s">
        <v>450</v>
      </c>
      <c r="C52" s="79" t="s">
        <v>429</v>
      </c>
      <c r="D52" s="447">
        <f>SUMIFS(BasisProgramma[255],BasisProgramma[Element],$B52,BasisProgramma[Handeling],$C52)</f>
        <v>12</v>
      </c>
      <c r="E52" s="448">
        <f>SUMIFS(BasisProgramma[204],BasisProgramma[Element],$B52,BasisProgramma[Handeling],$C52)</f>
        <v>12</v>
      </c>
      <c r="F52" s="448">
        <f>SUMIFS(BasisProgramma[156],BasisProgramma[Element],$B52,BasisProgramma[Handeling],$C52)</f>
        <v>12</v>
      </c>
      <c r="G52" s="448">
        <f>SUMIFS(BasisProgramma[104],BasisProgramma[Element],$B52,BasisProgramma[Handeling],$C52)</f>
        <v>12</v>
      </c>
      <c r="H52" s="448">
        <f>SUMIFS(BasisProgramma[52],BasisProgramma[Element],$B52,BasisProgramma[Handeling],$C52)</f>
        <v>12</v>
      </c>
      <c r="I52" s="461">
        <f>SUMIFS(BasisProgramma[4],BasisProgramma[Element],$B52,BasisProgramma[Handeling],$C52)</f>
        <v>4</v>
      </c>
      <c r="J52" s="449"/>
    </row>
    <row r="53" spans="2:10" x14ac:dyDescent="0.2">
      <c r="B53" s="422" t="s">
        <v>744</v>
      </c>
      <c r="C53" s="78" t="s">
        <v>742</v>
      </c>
      <c r="D53" s="447">
        <f>SUMIFS(BasisProgramma[255],BasisProgramma[Element],$B53,BasisProgramma[Handeling],$C53)</f>
        <v>255</v>
      </c>
      <c r="E53" s="448">
        <f>SUMIFS(BasisProgramma[204],BasisProgramma[Element],$B53,BasisProgramma[Handeling],$C53)</f>
        <v>204</v>
      </c>
      <c r="F53" s="448">
        <f>SUMIFS(BasisProgramma[156],BasisProgramma[Element],$B53,BasisProgramma[Handeling],$C53)</f>
        <v>156</v>
      </c>
      <c r="G53" s="448">
        <f>SUMIFS(BasisProgramma[104],BasisProgramma[Element],$B53,BasisProgramma[Handeling],$C53)</f>
        <v>104</v>
      </c>
      <c r="H53" s="448">
        <f>SUMIFS(BasisProgramma[52],BasisProgramma[Element],$B53,BasisProgramma[Handeling],$C53)</f>
        <v>52</v>
      </c>
      <c r="I53" s="461">
        <f>SUMIFS(BasisProgramma[4],BasisProgramma[Element],$B53,BasisProgramma[Handeling],$C53)</f>
        <v>4</v>
      </c>
      <c r="J53" s="449"/>
    </row>
    <row r="54" spans="2:10" x14ac:dyDescent="0.2">
      <c r="B54" s="422" t="s">
        <v>744</v>
      </c>
      <c r="C54" s="78" t="s">
        <v>483</v>
      </c>
      <c r="D54" s="447">
        <f>SUMIFS(BasisProgramma[255],BasisProgramma[Element],$B54,BasisProgramma[Handeling],$C54)</f>
        <v>52</v>
      </c>
      <c r="E54" s="448">
        <f>SUMIFS(BasisProgramma[204],BasisProgramma[Element],$B54,BasisProgramma[Handeling],$C54)</f>
        <v>52</v>
      </c>
      <c r="F54" s="448">
        <f>SUMIFS(BasisProgramma[156],BasisProgramma[Element],$B54,BasisProgramma[Handeling],$C54)</f>
        <v>52</v>
      </c>
      <c r="G54" s="448">
        <f>SUMIFS(BasisProgramma[104],BasisProgramma[Element],$B54,BasisProgramma[Handeling],$C54)</f>
        <v>52</v>
      </c>
      <c r="H54" s="448">
        <f>SUMIFS(BasisProgramma[52],BasisProgramma[Element],$B54,BasisProgramma[Handeling],$C54)</f>
        <v>52</v>
      </c>
      <c r="I54" s="461">
        <f>SUMIFS(BasisProgramma[4],BasisProgramma[Element],$B54,BasisProgramma[Handeling],$C54)</f>
        <v>4</v>
      </c>
      <c r="J54" s="449"/>
    </row>
    <row r="55" spans="2:10" x14ac:dyDescent="0.2">
      <c r="B55" s="422" t="s">
        <v>744</v>
      </c>
      <c r="C55" s="78" t="s">
        <v>741</v>
      </c>
      <c r="D55" s="447">
        <f>SUMIFS(BasisProgramma[255],BasisProgramma[Element],$B55,BasisProgramma[Handeling],$C55)</f>
        <v>4</v>
      </c>
      <c r="E55" s="448">
        <f>SUMIFS(BasisProgramma[204],BasisProgramma[Element],$B55,BasisProgramma[Handeling],$C55)</f>
        <v>4</v>
      </c>
      <c r="F55" s="448">
        <f>SUMIFS(BasisProgramma[156],BasisProgramma[Element],$B55,BasisProgramma[Handeling],$C55)</f>
        <v>4</v>
      </c>
      <c r="G55" s="448">
        <f>SUMIFS(BasisProgramma[104],BasisProgramma[Element],$B55,BasisProgramma[Handeling],$C55)</f>
        <v>4</v>
      </c>
      <c r="H55" s="448">
        <f>SUMIFS(BasisProgramma[52],BasisProgramma[Element],$B55,BasisProgramma[Handeling],$C55)</f>
        <v>4</v>
      </c>
      <c r="I55" s="461">
        <f>SUMIFS(BasisProgramma[4],BasisProgramma[Element],$B55,BasisProgramma[Handeling],$C55)</f>
        <v>4</v>
      </c>
      <c r="J55" s="449"/>
    </row>
    <row r="56" spans="2:10" x14ac:dyDescent="0.2">
      <c r="B56" s="422" t="s">
        <v>468</v>
      </c>
      <c r="C56" s="79" t="s">
        <v>460</v>
      </c>
      <c r="D56" s="447">
        <f>SUMIFS(BasisProgramma[255],BasisProgramma[Element],$B56,BasisProgramma[Handeling],$C56)</f>
        <v>243</v>
      </c>
      <c r="E56" s="448">
        <f>SUMIFS(BasisProgramma[204],BasisProgramma[Element],$B56,BasisProgramma[Handeling],$C56)</f>
        <v>192</v>
      </c>
      <c r="F56" s="448">
        <f>SUMIFS(BasisProgramma[156],BasisProgramma[Element],$B56,BasisProgramma[Handeling],$C56)</f>
        <v>144</v>
      </c>
      <c r="G56" s="448">
        <f>SUMIFS(BasisProgramma[104],BasisProgramma[Element],$B56,BasisProgramma[Handeling],$C56)</f>
        <v>92</v>
      </c>
      <c r="H56" s="448">
        <f>SUMIFS(BasisProgramma[52],BasisProgramma[Element],$B56,BasisProgramma[Handeling],$C56)</f>
        <v>46</v>
      </c>
      <c r="I56" s="461">
        <f>SUMIFS(BasisProgramma[4],BasisProgramma[Element],$B56,BasisProgramma[Handeling],$C56)</f>
        <v>0</v>
      </c>
      <c r="J56" s="449"/>
    </row>
    <row r="57" spans="2:10" x14ac:dyDescent="0.2">
      <c r="B57" s="422" t="s">
        <v>468</v>
      </c>
      <c r="C57" s="79" t="s">
        <v>461</v>
      </c>
      <c r="D57" s="447">
        <f>SUMIFS(BasisProgramma[255],BasisProgramma[Element],$B57,BasisProgramma[Handeling],$C57)</f>
        <v>12</v>
      </c>
      <c r="E57" s="448">
        <f>SUMIFS(BasisProgramma[204],BasisProgramma[Element],$B57,BasisProgramma[Handeling],$C57)</f>
        <v>12</v>
      </c>
      <c r="F57" s="448">
        <f>SUMIFS(BasisProgramma[156],BasisProgramma[Element],$B57,BasisProgramma[Handeling],$C57)</f>
        <v>12</v>
      </c>
      <c r="G57" s="448">
        <f>SUMIFS(BasisProgramma[104],BasisProgramma[Element],$B57,BasisProgramma[Handeling],$C57)</f>
        <v>12</v>
      </c>
      <c r="H57" s="448">
        <f>SUMIFS(BasisProgramma[52],BasisProgramma[Element],$B57,BasisProgramma[Handeling],$C57)</f>
        <v>6</v>
      </c>
      <c r="I57" s="461">
        <f>SUMIFS(BasisProgramma[4],BasisProgramma[Element],$B57,BasisProgramma[Handeling],$C57)</f>
        <v>4</v>
      </c>
      <c r="J57" s="449"/>
    </row>
    <row r="58" spans="2:10" x14ac:dyDescent="0.2">
      <c r="B58" s="422" t="s">
        <v>729</v>
      </c>
      <c r="C58" s="79" t="s">
        <v>441</v>
      </c>
      <c r="D58" s="447">
        <f>SUMIFS(BasisProgramma[255],BasisProgramma[Element],$B58,BasisProgramma[Handeling],$C58)</f>
        <v>255</v>
      </c>
      <c r="E58" s="448">
        <f>SUMIFS(BasisProgramma[204],BasisProgramma[Element],$B58,BasisProgramma[Handeling],$C58)</f>
        <v>204</v>
      </c>
      <c r="F58" s="448">
        <f>SUMIFS(BasisProgramma[156],BasisProgramma[Element],$B58,BasisProgramma[Handeling],$C58)</f>
        <v>156</v>
      </c>
      <c r="G58" s="448">
        <f>SUMIFS(BasisProgramma[104],BasisProgramma[Element],$B58,BasisProgramma[Handeling],$C58)</f>
        <v>104</v>
      </c>
      <c r="H58" s="448">
        <f>SUMIFS(BasisProgramma[52],BasisProgramma[Element],$B58,BasisProgramma[Handeling],$C58)</f>
        <v>52</v>
      </c>
      <c r="I58" s="461">
        <f>SUMIFS(BasisProgramma[4],BasisProgramma[Element],$B58,BasisProgramma[Handeling],$C58)</f>
        <v>4</v>
      </c>
      <c r="J58" s="449"/>
    </row>
    <row r="59" spans="2:10" x14ac:dyDescent="0.2">
      <c r="B59" s="422" t="s">
        <v>729</v>
      </c>
      <c r="C59" s="79" t="s">
        <v>465</v>
      </c>
      <c r="D59" s="447">
        <f>SUMIFS(BasisProgramma[255],BasisProgramma[Element],$B59,BasisProgramma[Handeling],$C59)</f>
        <v>12</v>
      </c>
      <c r="E59" s="448">
        <f>SUMIFS(BasisProgramma[204],BasisProgramma[Element],$B59,BasisProgramma[Handeling],$C59)</f>
        <v>12</v>
      </c>
      <c r="F59" s="448">
        <f>SUMIFS(BasisProgramma[156],BasisProgramma[Element],$B59,BasisProgramma[Handeling],$C59)</f>
        <v>12</v>
      </c>
      <c r="G59" s="448">
        <f>SUMIFS(BasisProgramma[104],BasisProgramma[Element],$B59,BasisProgramma[Handeling],$C59)</f>
        <v>12</v>
      </c>
      <c r="H59" s="448">
        <f>SUMIFS(BasisProgramma[52],BasisProgramma[Element],$B59,BasisProgramma[Handeling],$C59)</f>
        <v>6</v>
      </c>
      <c r="I59" s="461">
        <f>SUMIFS(BasisProgramma[4],BasisProgramma[Element],$B59,BasisProgramma[Handeling],$C59)</f>
        <v>4</v>
      </c>
      <c r="J59" s="449"/>
    </row>
    <row r="60" spans="2:10" x14ac:dyDescent="0.2">
      <c r="B60" s="54" t="s">
        <v>723</v>
      </c>
      <c r="C60" s="79" t="s">
        <v>467</v>
      </c>
      <c r="D60" s="447">
        <f>SUMIFS(BasisProgramma[255],BasisProgramma[Element],$B60,BasisProgramma[Handeling],$C60)</f>
        <v>255</v>
      </c>
      <c r="E60" s="448">
        <f>SUMIFS(BasisProgramma[204],BasisProgramma[Element],$B60,BasisProgramma[Handeling],$C60)</f>
        <v>204</v>
      </c>
      <c r="F60" s="448">
        <f>SUMIFS(BasisProgramma[156],BasisProgramma[Element],$B60,BasisProgramma[Handeling],$C60)</f>
        <v>156</v>
      </c>
      <c r="G60" s="448">
        <f>SUMIFS(BasisProgramma[104],BasisProgramma[Element],$B60,BasisProgramma[Handeling],$C60)</f>
        <v>104</v>
      </c>
      <c r="H60" s="448">
        <f>SUMIFS(BasisProgramma[52],BasisProgramma[Element],$B60,BasisProgramma[Handeling],$C60)</f>
        <v>52</v>
      </c>
      <c r="I60" s="461">
        <f>SUMIFS(BasisProgramma[4],BasisProgramma[Element],$B60,BasisProgramma[Handeling],$C60)</f>
        <v>4</v>
      </c>
      <c r="J60" s="449"/>
    </row>
    <row r="61" spans="2:10" ht="12.75" thickBot="1" x14ac:dyDescent="0.25">
      <c r="B61" s="423" t="s">
        <v>723</v>
      </c>
      <c r="C61" s="424" t="s">
        <v>452</v>
      </c>
      <c r="D61" s="456">
        <f>SUMIFS(BasisProgramma[255],BasisProgramma[Element],$B61,BasisProgramma[Handeling],$C61)</f>
        <v>255</v>
      </c>
      <c r="E61" s="457">
        <f>SUMIFS(BasisProgramma[204],BasisProgramma[Element],$B61,BasisProgramma[Handeling],$C61)</f>
        <v>204</v>
      </c>
      <c r="F61" s="457">
        <f>SUMIFS(BasisProgramma[156],BasisProgramma[Element],$B61,BasisProgramma[Handeling],$C61)</f>
        <v>156</v>
      </c>
      <c r="G61" s="457">
        <f>SUMIFS(BasisProgramma[104],BasisProgramma[Element],$B61,BasisProgramma[Handeling],$C61)</f>
        <v>104</v>
      </c>
      <c r="H61" s="457">
        <f>SUMIFS(BasisProgramma[52],BasisProgramma[Element],$B61,BasisProgramma[Handeling],$C61)</f>
        <v>52</v>
      </c>
      <c r="I61" s="463">
        <f>SUMIFS(BasisProgramma[4],BasisProgramma[Element],$B61,BasisProgramma[Handeling],$C61)</f>
        <v>4</v>
      </c>
      <c r="J61" s="458"/>
    </row>
  </sheetData>
  <sheetProtection algorithmName="SHA-512" hashValue="1l61lZPN6SOnuuP8RtrNAGDYmkIsAIb1LW9tn3zrhjnA99T96wrkOVs2e/3OU7D333h2lNbRkzchx7LRC5XFJA==" saltValue="5R6HXzYq7WBIzop1Te1orw==" spinCount="100000" sheet="1" objects="1" scenarios="1"/>
  <pageMargins left="0.70866141732283472" right="0.70866141732283472" top="0.74803149606299213" bottom="0.74803149606299213" header="0.31496062992125984" footer="0.31496062992125984"/>
  <pageSetup paperSize="9" scale="78" orientation="portrait" horizontalDpi="0" verticalDpi="0" r:id="rId1"/>
  <headerFooter>
    <oddHeader>&amp;L&amp;9&amp;K04-048Werkprogramma - Boxenruimte&amp;R&amp;G</oddHeader>
    <oddFooter>&amp;L&amp;9&amp;K04-049Offerteaanvraag EU Openbare aanbesteding Schoonmaakonderhoud&amp;C&amp;9&amp;K04-049 8 april 2022&amp;R&amp;9&amp;K04-049Blad &amp;P van &amp;N</oddFooter>
  </headerFooter>
  <ignoredErrors>
    <ignoredError sqref="D4:H61" unlockedFormula="1"/>
    <ignoredError sqref="D3"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2F009-1554-4DF4-9CF9-BE5AC016FA63}">
  <sheetPr>
    <tabColor theme="7" tint="0.59999389629810485"/>
    <pageSetUpPr fitToPage="1"/>
  </sheetPr>
  <dimension ref="B1:J42"/>
  <sheetViews>
    <sheetView showGridLines="0" showRowColHeaders="0" workbookViewId="0">
      <pane ySplit="3" topLeftCell="A4" activePane="bottomLeft" state="frozen"/>
      <selection activeCell="D28" sqref="D28"/>
      <selection pane="bottomLeft" activeCell="L11" sqref="L11"/>
    </sheetView>
  </sheetViews>
  <sheetFormatPr defaultColWidth="9.140625" defaultRowHeight="12" x14ac:dyDescent="0.2"/>
  <cols>
    <col min="1" max="1" width="9.140625" style="7"/>
    <col min="2" max="2" width="44.7109375" style="7" bestFit="1" customWidth="1"/>
    <col min="3" max="3" width="45.85546875" style="7" bestFit="1" customWidth="1"/>
    <col min="4" max="5" width="9.140625" style="84"/>
    <col min="6" max="9" width="9.140625" style="84" hidden="1" customWidth="1"/>
    <col min="10" max="10" width="1.7109375" style="84" customWidth="1"/>
    <col min="11" max="16384" width="9.140625" style="7"/>
  </cols>
  <sheetData>
    <row r="1" spans="2:10" ht="25.5" customHeight="1" thickBot="1" x14ac:dyDescent="0.25">
      <c r="B1" s="603" t="s">
        <v>758</v>
      </c>
      <c r="C1" s="604"/>
      <c r="D1" s="604"/>
      <c r="E1" s="604"/>
      <c r="F1" s="604"/>
      <c r="G1" s="604"/>
      <c r="H1" s="604"/>
      <c r="I1" s="604"/>
      <c r="J1" s="605"/>
    </row>
    <row r="2" spans="2:10" ht="12.75" thickBot="1" x14ac:dyDescent="0.25"/>
    <row r="3" spans="2:10" ht="12.75" thickBot="1" x14ac:dyDescent="0.25">
      <c r="B3" s="412" t="s">
        <v>451</v>
      </c>
      <c r="C3" s="413" t="s">
        <v>388</v>
      </c>
      <c r="D3" s="414" t="s">
        <v>751</v>
      </c>
      <c r="E3" s="415" t="s">
        <v>752</v>
      </c>
      <c r="F3" s="416" t="s">
        <v>753</v>
      </c>
      <c r="G3" s="416" t="s">
        <v>754</v>
      </c>
      <c r="H3" s="416" t="s">
        <v>755</v>
      </c>
      <c r="I3" s="428" t="s">
        <v>756</v>
      </c>
      <c r="J3" s="417"/>
    </row>
    <row r="4" spans="2:10" x14ac:dyDescent="0.2">
      <c r="B4" s="418" t="s">
        <v>494</v>
      </c>
      <c r="C4" s="419" t="s">
        <v>427</v>
      </c>
      <c r="D4" s="444">
        <f>SUMIFS(BasisProgramma[255],BasisProgramma[Element],$B4,BasisProgramma[Handeling],$C4)</f>
        <v>255</v>
      </c>
      <c r="E4" s="445">
        <f>SUMIFS(BasisProgramma[204],BasisProgramma[Element],$B4,BasisProgramma[Handeling],$C4)</f>
        <v>204</v>
      </c>
      <c r="F4" s="445">
        <f>SUMIFS([1]!BasisProgramma[156],[1]!BasisProgramma[Element],$B4,[1]!BasisProgramma[Handeling],$C4)</f>
        <v>156</v>
      </c>
      <c r="G4" s="445">
        <f>SUMIFS([1]!BasisProgramma[104],[1]!BasisProgramma[Element],$B4,[1]!BasisProgramma[Handeling],$C4)</f>
        <v>104</v>
      </c>
      <c r="H4" s="445">
        <f>SUMIFS([1]!BasisProgramma[52],[1]!BasisProgramma[Element],$B4,[1]!BasisProgramma[Handeling],$C4)</f>
        <v>52</v>
      </c>
      <c r="I4" s="460">
        <f>SUMIFS([1]!BasisProgramma[4],[1]!BasisProgramma[Element],$B4,[1]!BasisProgramma[Handeling],$C4)</f>
        <v>4</v>
      </c>
      <c r="J4" s="446"/>
    </row>
    <row r="5" spans="2:10" x14ac:dyDescent="0.2">
      <c r="B5" s="422" t="s">
        <v>494</v>
      </c>
      <c r="C5" s="79" t="s">
        <v>428</v>
      </c>
      <c r="D5" s="447">
        <f>SUMIFS(BasisProgramma[255],BasisProgramma[Element],$B5,BasisProgramma[Handeling],$C5)</f>
        <v>203</v>
      </c>
      <c r="E5" s="448">
        <f>SUMIFS(BasisProgramma[204],BasisProgramma[Element],$B5,BasisProgramma[Handeling],$C5)</f>
        <v>152</v>
      </c>
      <c r="F5" s="448">
        <f>SUMIFS([1]!BasisProgramma[156],[1]!BasisProgramma[Element],$B5,[1]!BasisProgramma[Handeling],$C5)</f>
        <v>104</v>
      </c>
      <c r="G5" s="448">
        <f>SUMIFS([1]!BasisProgramma[104],[1]!BasisProgramma[Element],$B5,[1]!BasisProgramma[Handeling],$C5)</f>
        <v>92</v>
      </c>
      <c r="H5" s="448">
        <f>SUMIFS([1]!BasisProgramma[52],[1]!BasisProgramma[Element],$B5,[1]!BasisProgramma[Handeling],$C5)</f>
        <v>46</v>
      </c>
      <c r="I5" s="461">
        <f>SUMIFS([1]!BasisProgramma[4],[1]!BasisProgramma[Element],$B5,[1]!BasisProgramma[Handeling],$C5)</f>
        <v>0</v>
      </c>
      <c r="J5" s="449"/>
    </row>
    <row r="6" spans="2:10" x14ac:dyDescent="0.2">
      <c r="B6" s="422" t="s">
        <v>494</v>
      </c>
      <c r="C6" s="79" t="s">
        <v>429</v>
      </c>
      <c r="D6" s="447">
        <f>SUMIFS(BasisProgramma[255],BasisProgramma[Element],$B6,BasisProgramma[Handeling],$C6)</f>
        <v>52</v>
      </c>
      <c r="E6" s="448">
        <f>SUMIFS(BasisProgramma[204],BasisProgramma[Element],$B6,BasisProgramma[Handeling],$C6)</f>
        <v>52</v>
      </c>
      <c r="F6" s="448">
        <f>SUMIFS([1]!BasisProgramma[156],[1]!BasisProgramma[Element],$B6,[1]!BasisProgramma[Handeling],$C6)</f>
        <v>52</v>
      </c>
      <c r="G6" s="448">
        <f>SUMIFS([1]!BasisProgramma[104],[1]!BasisProgramma[Element],$B6,[1]!BasisProgramma[Handeling],$C6)</f>
        <v>12</v>
      </c>
      <c r="H6" s="448">
        <f>SUMIFS([1]!BasisProgramma[52],[1]!BasisProgramma[Element],$B6,[1]!BasisProgramma[Handeling],$C6)</f>
        <v>6</v>
      </c>
      <c r="I6" s="461">
        <f>SUMIFS([1]!BasisProgramma[4],[1]!BasisProgramma[Element],$B6,[1]!BasisProgramma[Handeling],$C6)</f>
        <v>4</v>
      </c>
      <c r="J6" s="449"/>
    </row>
    <row r="7" spans="2:10" x14ac:dyDescent="0.2">
      <c r="B7" s="422" t="s">
        <v>720</v>
      </c>
      <c r="C7" s="79" t="s">
        <v>428</v>
      </c>
      <c r="D7" s="447">
        <f>SUMIFS(BasisProgramma[255],BasisProgramma[Element],$B7,BasisProgramma[Handeling],$C7)</f>
        <v>203</v>
      </c>
      <c r="E7" s="448">
        <f>SUMIFS(BasisProgramma[204],BasisProgramma[Element],$B7,BasisProgramma[Handeling],$C7)</f>
        <v>152</v>
      </c>
      <c r="F7" s="448">
        <f>SUMIFS([1]!BasisProgramma[156],[1]!BasisProgramma[Element],$B7,[1]!BasisProgramma[Handeling],$C7)</f>
        <v>104</v>
      </c>
      <c r="G7" s="448">
        <f>SUMIFS([1]!BasisProgramma[104],[1]!BasisProgramma[Element],$B7,[1]!BasisProgramma[Handeling],$C7)</f>
        <v>52</v>
      </c>
      <c r="H7" s="448">
        <f>SUMIFS([1]!BasisProgramma[52],[1]!BasisProgramma[Element],$B7,[1]!BasisProgramma[Handeling],$C7)</f>
        <v>0</v>
      </c>
      <c r="I7" s="461">
        <f>SUMIFS([1]!BasisProgramma[4],[1]!BasisProgramma[Element],$B7,[1]!BasisProgramma[Handeling],$C7)</f>
        <v>0</v>
      </c>
      <c r="J7" s="449"/>
    </row>
    <row r="8" spans="2:10" x14ac:dyDescent="0.2">
      <c r="B8" s="422" t="s">
        <v>720</v>
      </c>
      <c r="C8" s="79" t="s">
        <v>452</v>
      </c>
      <c r="D8" s="447">
        <f>SUMIFS(BasisProgramma[255],BasisProgramma[Element],$B8,BasisProgramma[Handeling],$C8)</f>
        <v>52</v>
      </c>
      <c r="E8" s="448">
        <f>SUMIFS(BasisProgramma[204],BasisProgramma[Element],$B8,BasisProgramma[Handeling],$C8)</f>
        <v>52</v>
      </c>
      <c r="F8" s="448">
        <f>SUMIFS([1]!BasisProgramma[156],[1]!BasisProgramma[Element],$B8,[1]!BasisProgramma[Handeling],$C8)</f>
        <v>52</v>
      </c>
      <c r="G8" s="448">
        <f>SUMIFS([1]!BasisProgramma[104],[1]!BasisProgramma[Element],$B8,[1]!BasisProgramma[Handeling],$C8)</f>
        <v>52</v>
      </c>
      <c r="H8" s="448">
        <f>SUMIFS([1]!BasisProgramma[52],[1]!BasisProgramma[Element],$B8,[1]!BasisProgramma[Handeling],$C8)</f>
        <v>52</v>
      </c>
      <c r="I8" s="461">
        <f>SUMIFS([1]!BasisProgramma[4],[1]!BasisProgramma[Element],$B8,[1]!BasisProgramma[Handeling],$C8)</f>
        <v>4</v>
      </c>
      <c r="J8" s="449"/>
    </row>
    <row r="9" spans="2:10" x14ac:dyDescent="0.2">
      <c r="B9" s="422" t="s">
        <v>485</v>
      </c>
      <c r="C9" s="79" t="s">
        <v>428</v>
      </c>
      <c r="D9" s="447">
        <f>SUMIFS(BasisProgramma[255],BasisProgramma[Element],$B9,BasisProgramma[Handeling],$C9)</f>
        <v>52</v>
      </c>
      <c r="E9" s="448">
        <f>SUMIFS(BasisProgramma[204],BasisProgramma[Element],$B9,BasisProgramma[Handeling],$C9)</f>
        <v>52</v>
      </c>
      <c r="F9" s="448">
        <f>SUMIFS([1]!BasisProgramma[156],[1]!BasisProgramma[Element],$B9,[1]!BasisProgramma[Handeling],$C9)</f>
        <v>52</v>
      </c>
      <c r="G9" s="448">
        <f>SUMIFS([1]!BasisProgramma[104],[1]!BasisProgramma[Element],$B9,[1]!BasisProgramma[Handeling],$C9)</f>
        <v>12</v>
      </c>
      <c r="H9" s="448">
        <f>SUMIFS([1]!BasisProgramma[52],[1]!BasisProgramma[Element],$B9,[1]!BasisProgramma[Handeling],$C9)</f>
        <v>12</v>
      </c>
      <c r="I9" s="461">
        <f>SUMIFS([1]!BasisProgramma[4],[1]!BasisProgramma[Element],$B9,[1]!BasisProgramma[Handeling],$C9)</f>
        <v>4</v>
      </c>
      <c r="J9" s="449"/>
    </row>
    <row r="10" spans="2:10" x14ac:dyDescent="0.2">
      <c r="B10" s="422" t="s">
        <v>432</v>
      </c>
      <c r="C10" s="79" t="s">
        <v>428</v>
      </c>
      <c r="D10" s="447">
        <f>SUMIFS(BasisProgramma[255],BasisProgramma[Element],$B10,BasisProgramma[Handeling],$C10)</f>
        <v>243</v>
      </c>
      <c r="E10" s="448">
        <f>SUMIFS(BasisProgramma[204],BasisProgramma[Element],$B10,BasisProgramma[Handeling],$C10)</f>
        <v>192</v>
      </c>
      <c r="F10" s="448">
        <f>SUMIFS([1]!BasisProgramma[156],[1]!BasisProgramma[Element],$B10,[1]!BasisProgramma[Handeling],$C10)</f>
        <v>144</v>
      </c>
      <c r="G10" s="448">
        <f>SUMIFS([1]!BasisProgramma[104],[1]!BasisProgramma[Element],$B10,[1]!BasisProgramma[Handeling],$C10)</f>
        <v>92</v>
      </c>
      <c r="H10" s="448">
        <f>SUMIFS([1]!BasisProgramma[52],[1]!BasisProgramma[Element],$B10,[1]!BasisProgramma[Handeling],$C10)</f>
        <v>46</v>
      </c>
      <c r="I10" s="461">
        <f>SUMIFS([1]!BasisProgramma[4],[1]!BasisProgramma[Element],$B10,[1]!BasisProgramma[Handeling],$C10)</f>
        <v>0</v>
      </c>
      <c r="J10" s="449"/>
    </row>
    <row r="11" spans="2:10" x14ac:dyDescent="0.2">
      <c r="B11" s="422" t="s">
        <v>432</v>
      </c>
      <c r="C11" s="79" t="s">
        <v>433</v>
      </c>
      <c r="D11" s="447">
        <f>SUMIFS(BasisProgramma[255],BasisProgramma[Element],$B11,BasisProgramma[Handeling],$C11)</f>
        <v>243</v>
      </c>
      <c r="E11" s="448">
        <f>SUMIFS(BasisProgramma[204],BasisProgramma[Element],$B11,BasisProgramma[Handeling],$C11)</f>
        <v>192</v>
      </c>
      <c r="F11" s="448">
        <f>SUMIFS([1]!BasisProgramma[156],[1]!BasisProgramma[Element],$B11,[1]!BasisProgramma[Handeling],$C11)</f>
        <v>144</v>
      </c>
      <c r="G11" s="448">
        <f>SUMIFS([1]!BasisProgramma[104],[1]!BasisProgramma[Element],$B11,[1]!BasisProgramma[Handeling],$C11)</f>
        <v>92</v>
      </c>
      <c r="H11" s="448">
        <f>SUMIFS([1]!BasisProgramma[52],[1]!BasisProgramma[Element],$B11,[1]!BasisProgramma[Handeling],$C11)</f>
        <v>46</v>
      </c>
      <c r="I11" s="461">
        <f>SUMIFS([1]!BasisProgramma[4],[1]!BasisProgramma[Element],$B11,[1]!BasisProgramma[Handeling],$C11)</f>
        <v>0</v>
      </c>
      <c r="J11" s="449"/>
    </row>
    <row r="12" spans="2:10" x14ac:dyDescent="0.2">
      <c r="B12" s="422" t="s">
        <v>432</v>
      </c>
      <c r="C12" s="79" t="s">
        <v>429</v>
      </c>
      <c r="D12" s="447">
        <f>SUMIFS(BasisProgramma[255],BasisProgramma[Element],$B12,BasisProgramma[Handeling],$C12)</f>
        <v>12</v>
      </c>
      <c r="E12" s="448">
        <f>SUMIFS(BasisProgramma[204],BasisProgramma[Element],$B12,BasisProgramma[Handeling],$C12)</f>
        <v>12</v>
      </c>
      <c r="F12" s="448">
        <f>SUMIFS([1]!BasisProgramma[156],[1]!BasisProgramma[Element],$B12,[1]!BasisProgramma[Handeling],$C12)</f>
        <v>12</v>
      </c>
      <c r="G12" s="448">
        <f>SUMIFS([1]!BasisProgramma[104],[1]!BasisProgramma[Element],$B12,[1]!BasisProgramma[Handeling],$C12)</f>
        <v>12</v>
      </c>
      <c r="H12" s="448">
        <f>SUMIFS([1]!BasisProgramma[52],[1]!BasisProgramma[Element],$B12,[1]!BasisProgramma[Handeling],$C12)</f>
        <v>6</v>
      </c>
      <c r="I12" s="461">
        <f>SUMIFS([1]!BasisProgramma[4],[1]!BasisProgramma[Element],$B12,[1]!BasisProgramma[Handeling],$C12)</f>
        <v>4</v>
      </c>
      <c r="J12" s="449"/>
    </row>
    <row r="13" spans="2:10" x14ac:dyDescent="0.2">
      <c r="B13" s="422" t="s">
        <v>434</v>
      </c>
      <c r="C13" s="79" t="s">
        <v>435</v>
      </c>
      <c r="D13" s="447">
        <f>SUMIFS(BasisProgramma[255],BasisProgramma[Element],$B13,BasisProgramma[Handeling],$C13)</f>
        <v>203</v>
      </c>
      <c r="E13" s="448">
        <f>SUMIFS(BasisProgramma[204],BasisProgramma[Element],$B13,BasisProgramma[Handeling],$C13)</f>
        <v>152</v>
      </c>
      <c r="F13" s="448">
        <f>SUMIFS([1]!BasisProgramma[156],[1]!BasisProgramma[Element],$B13,[1]!BasisProgramma[Handeling],$C13)</f>
        <v>104</v>
      </c>
      <c r="G13" s="448">
        <f>SUMIFS([1]!BasisProgramma[104],[1]!BasisProgramma[Element],$B13,[1]!BasisProgramma[Handeling],$C13)</f>
        <v>98</v>
      </c>
      <c r="H13" s="448">
        <f>SUMIFS([1]!BasisProgramma[52],[1]!BasisProgramma[Element],$B13,[1]!BasisProgramma[Handeling],$C13)</f>
        <v>46</v>
      </c>
      <c r="I13" s="461">
        <f>SUMIFS([1]!BasisProgramma[4],[1]!BasisProgramma[Element],$B13,[1]!BasisProgramma[Handeling],$C13)</f>
        <v>0</v>
      </c>
      <c r="J13" s="449"/>
    </row>
    <row r="14" spans="2:10" x14ac:dyDescent="0.2">
      <c r="B14" s="422" t="s">
        <v>434</v>
      </c>
      <c r="C14" s="79" t="s">
        <v>429</v>
      </c>
      <c r="D14" s="447">
        <f>SUMIFS(BasisProgramma[255],BasisProgramma[Element],$B14,BasisProgramma[Handeling],$C14)</f>
        <v>52</v>
      </c>
      <c r="E14" s="448">
        <f>SUMIFS(BasisProgramma[204],BasisProgramma[Element],$B14,BasisProgramma[Handeling],$C14)</f>
        <v>52</v>
      </c>
      <c r="F14" s="448">
        <f>SUMIFS([1]!BasisProgramma[156],[1]!BasisProgramma[Element],$B14,[1]!BasisProgramma[Handeling],$C14)</f>
        <v>52</v>
      </c>
      <c r="G14" s="448">
        <f>SUMIFS([1]!BasisProgramma[104],[1]!BasisProgramma[Element],$B14,[1]!BasisProgramma[Handeling],$C14)</f>
        <v>12</v>
      </c>
      <c r="H14" s="448">
        <f>SUMIFS([1]!BasisProgramma[52],[1]!BasisProgramma[Element],$B14,[1]!BasisProgramma[Handeling],$C14)</f>
        <v>12</v>
      </c>
      <c r="I14" s="461">
        <f>SUMIFS([1]!BasisProgramma[4],[1]!BasisProgramma[Element],$B14,[1]!BasisProgramma[Handeling],$C14)</f>
        <v>4</v>
      </c>
      <c r="J14" s="449"/>
    </row>
    <row r="15" spans="2:10" x14ac:dyDescent="0.2">
      <c r="B15" s="422" t="s">
        <v>436</v>
      </c>
      <c r="C15" s="79" t="s">
        <v>429</v>
      </c>
      <c r="D15" s="447">
        <f>SUMIFS(BasisProgramma[255],BasisProgramma[Element],$B15,BasisProgramma[Handeling],$C15)</f>
        <v>52</v>
      </c>
      <c r="E15" s="448">
        <f>SUMIFS(BasisProgramma[204],BasisProgramma[Element],$B15,BasisProgramma[Handeling],$C15)</f>
        <v>52</v>
      </c>
      <c r="F15" s="448">
        <f>SUMIFS([1]!BasisProgramma[156],[1]!BasisProgramma[Element],$B15,[1]!BasisProgramma[Handeling],$C15)</f>
        <v>52</v>
      </c>
      <c r="G15" s="448">
        <f>SUMIFS([1]!BasisProgramma[104],[1]!BasisProgramma[Element],$B15,[1]!BasisProgramma[Handeling],$C15)</f>
        <v>52</v>
      </c>
      <c r="H15" s="448">
        <f>SUMIFS([1]!BasisProgramma[52],[1]!BasisProgramma[Element],$B15,[1]!BasisProgramma[Handeling],$C15)</f>
        <v>52</v>
      </c>
      <c r="I15" s="461">
        <f>SUMIFS([1]!BasisProgramma[4],[1]!BasisProgramma[Element],$B15,[1]!BasisProgramma[Handeling],$C15)</f>
        <v>4</v>
      </c>
      <c r="J15" s="449"/>
    </row>
    <row r="16" spans="2:10" x14ac:dyDescent="0.2">
      <c r="B16" s="422" t="s">
        <v>437</v>
      </c>
      <c r="C16" s="8" t="s">
        <v>738</v>
      </c>
      <c r="D16" s="447">
        <f>SUMIFS(BasisProgramma[255],BasisProgramma[Element],$B16,BasisProgramma[Handeling],$C16)</f>
        <v>251</v>
      </c>
      <c r="E16" s="448">
        <f>SUMIFS(BasisProgramma[204],BasisProgramma[Element],$B16,BasisProgramma[Handeling],$C16)</f>
        <v>200</v>
      </c>
      <c r="F16" s="448">
        <f>SUMIFS([1]!BasisProgramma[156],[1]!BasisProgramma[Element],$B16,[1]!BasisProgramma[Handeling],$C16)</f>
        <v>152</v>
      </c>
      <c r="G16" s="448">
        <f>SUMIFS([1]!BasisProgramma[104],[1]!BasisProgramma[Element],$B16,[1]!BasisProgramma[Handeling],$C16)</f>
        <v>100</v>
      </c>
      <c r="H16" s="448">
        <f>SUMIFS([1]!BasisProgramma[52],[1]!BasisProgramma[Element],$B16,[1]!BasisProgramma[Handeling],$C16)</f>
        <v>50</v>
      </c>
      <c r="I16" s="461">
        <f>SUMIFS([1]!BasisProgramma[4],[1]!BasisProgramma[Element],$B16,[1]!BasisProgramma[Handeling],$C16)</f>
        <v>0</v>
      </c>
      <c r="J16" s="449"/>
    </row>
    <row r="17" spans="2:10" x14ac:dyDescent="0.2">
      <c r="B17" s="422" t="s">
        <v>437</v>
      </c>
      <c r="C17" s="8" t="s">
        <v>739</v>
      </c>
      <c r="D17" s="447">
        <f>SUMIFS(BasisProgramma[255],BasisProgramma[Element],$B17,BasisProgramma[Handeling],$C17)</f>
        <v>40</v>
      </c>
      <c r="E17" s="448">
        <f>SUMIFS(BasisProgramma[204],BasisProgramma[Element],$B17,BasisProgramma[Handeling],$C17)</f>
        <v>40</v>
      </c>
      <c r="F17" s="448">
        <f>SUMIFS([1]!BasisProgramma[156],[1]!BasisProgramma[Element],$B17,[1]!BasisProgramma[Handeling],$C17)</f>
        <v>40</v>
      </c>
      <c r="G17" s="448">
        <f>SUMIFS([1]!BasisProgramma[104],[1]!BasisProgramma[Element],$B17,[1]!BasisProgramma[Handeling],$C17)</f>
        <v>40</v>
      </c>
      <c r="H17" s="448">
        <f>SUMIFS([1]!BasisProgramma[52],[1]!BasisProgramma[Element],$B17,[1]!BasisProgramma[Handeling],$C17)</f>
        <v>40</v>
      </c>
      <c r="I17" s="461">
        <f>SUMIFS([1]!BasisProgramma[4],[1]!BasisProgramma[Element],$B17,[1]!BasisProgramma[Handeling],$C17)</f>
        <v>0</v>
      </c>
      <c r="J17" s="449"/>
    </row>
    <row r="18" spans="2:10" x14ac:dyDescent="0.2">
      <c r="B18" s="422" t="s">
        <v>438</v>
      </c>
      <c r="C18" s="79" t="s">
        <v>439</v>
      </c>
      <c r="D18" s="447">
        <f>SUMIFS(BasisProgramma[255],BasisProgramma[Element],$B18,BasisProgramma[Handeling],$C18)</f>
        <v>8</v>
      </c>
      <c r="E18" s="448">
        <f>SUMIFS(BasisProgramma[204],BasisProgramma[Element],$B18,BasisProgramma[Handeling],$C18)</f>
        <v>8</v>
      </c>
      <c r="F18" s="448">
        <f>SUMIFS([1]!BasisProgramma[156],[1]!BasisProgramma[Element],$B18,[1]!BasisProgramma[Handeling],$C18)</f>
        <v>8</v>
      </c>
      <c r="G18" s="448">
        <f>SUMIFS([1]!BasisProgramma[104],[1]!BasisProgramma[Element],$B18,[1]!BasisProgramma[Handeling],$C18)</f>
        <v>8</v>
      </c>
      <c r="H18" s="448">
        <f>SUMIFS([1]!BasisProgramma[52],[1]!BasisProgramma[Element],$B18,[1]!BasisProgramma[Handeling],$C18)</f>
        <v>4</v>
      </c>
      <c r="I18" s="461">
        <f>SUMIFS([1]!BasisProgramma[4],[1]!BasisProgramma[Element],$B18,[1]!BasisProgramma[Handeling],$C18)</f>
        <v>0</v>
      </c>
      <c r="J18" s="449"/>
    </row>
    <row r="19" spans="2:10" x14ac:dyDescent="0.2">
      <c r="B19" s="422" t="s">
        <v>437</v>
      </c>
      <c r="C19" s="79" t="s">
        <v>429</v>
      </c>
      <c r="D19" s="447">
        <f>SUMIFS(BasisProgramma[255],BasisProgramma[Element],$B19,BasisProgramma[Handeling],$C19)</f>
        <v>4</v>
      </c>
      <c r="E19" s="448">
        <f>SUMIFS(BasisProgramma[204],BasisProgramma[Element],$B19,BasisProgramma[Handeling],$C19)</f>
        <v>4</v>
      </c>
      <c r="F19" s="448">
        <f>SUMIFS([1]!BasisProgramma[156],[1]!BasisProgramma[Element],$B19,[1]!BasisProgramma[Handeling],$C19)</f>
        <v>4</v>
      </c>
      <c r="G19" s="448">
        <f>SUMIFS([1]!BasisProgramma[104],[1]!BasisProgramma[Element],$B19,[1]!BasisProgramma[Handeling],$C19)</f>
        <v>4</v>
      </c>
      <c r="H19" s="448">
        <f>SUMIFS([1]!BasisProgramma[52],[1]!BasisProgramma[Element],$B19,[1]!BasisProgramma[Handeling],$C19)</f>
        <v>2</v>
      </c>
      <c r="I19" s="461">
        <f>SUMIFS([1]!BasisProgramma[4],[1]!BasisProgramma[Element],$B19,[1]!BasisProgramma[Handeling],$C19)</f>
        <v>4</v>
      </c>
      <c r="J19" s="449"/>
    </row>
    <row r="20" spans="2:10" x14ac:dyDescent="0.2">
      <c r="B20" s="422" t="s">
        <v>440</v>
      </c>
      <c r="C20" s="79" t="s">
        <v>740</v>
      </c>
      <c r="D20" s="447">
        <f>SUMIFS(BasisProgramma[255],BasisProgramma[Element],$B20,BasisProgramma[Handeling],$C20)</f>
        <v>251</v>
      </c>
      <c r="E20" s="448">
        <f>SUMIFS(BasisProgramma[204],BasisProgramma[Element],$B20,BasisProgramma[Handeling],$C20)</f>
        <v>200</v>
      </c>
      <c r="F20" s="448">
        <f>SUMIFS([1]!BasisProgramma[156],[1]!BasisProgramma[Element],$B20,[1]!BasisProgramma[Handeling],$C20)</f>
        <v>152</v>
      </c>
      <c r="G20" s="448">
        <f>SUMIFS([1]!BasisProgramma[104],[1]!BasisProgramma[Element],$B20,[1]!BasisProgramma[Handeling],$C20)</f>
        <v>100</v>
      </c>
      <c r="H20" s="448">
        <f>SUMIFS([1]!BasisProgramma[52],[1]!BasisProgramma[Element],$B20,[1]!BasisProgramma[Handeling],$C20)</f>
        <v>50</v>
      </c>
      <c r="I20" s="461">
        <f>SUMIFS([1]!BasisProgramma[4],[1]!BasisProgramma[Element],$B20,[1]!BasisProgramma[Handeling],$C20)</f>
        <v>0</v>
      </c>
      <c r="J20" s="449"/>
    </row>
    <row r="21" spans="2:10" x14ac:dyDescent="0.2">
      <c r="B21" s="422" t="s">
        <v>440</v>
      </c>
      <c r="C21" s="79" t="s">
        <v>429</v>
      </c>
      <c r="D21" s="447">
        <f>SUMIFS(BasisProgramma[255],BasisProgramma[Element],$B21,BasisProgramma[Handeling],$C21)</f>
        <v>4</v>
      </c>
      <c r="E21" s="448">
        <f>SUMIFS(BasisProgramma[204],BasisProgramma[Element],$B21,BasisProgramma[Handeling],$C21)</f>
        <v>4</v>
      </c>
      <c r="F21" s="448">
        <f>SUMIFS([1]!BasisProgramma[156],[1]!BasisProgramma[Element],$B21,[1]!BasisProgramma[Handeling],$C21)</f>
        <v>4</v>
      </c>
      <c r="G21" s="448">
        <f>SUMIFS([1]!BasisProgramma[104],[1]!BasisProgramma[Element],$B21,[1]!BasisProgramma[Handeling],$C21)</f>
        <v>4</v>
      </c>
      <c r="H21" s="448">
        <f>SUMIFS([1]!BasisProgramma[52],[1]!BasisProgramma[Element],$B21,[1]!BasisProgramma[Handeling],$C21)</f>
        <v>2</v>
      </c>
      <c r="I21" s="461">
        <f>SUMIFS([1]!BasisProgramma[4],[1]!BasisProgramma[Element],$B21,[1]!BasisProgramma[Handeling],$C21)</f>
        <v>4</v>
      </c>
      <c r="J21" s="449"/>
    </row>
    <row r="22" spans="2:10" x14ac:dyDescent="0.2">
      <c r="B22" s="422" t="s">
        <v>476</v>
      </c>
      <c r="C22" s="79" t="s">
        <v>441</v>
      </c>
      <c r="D22" s="447">
        <f>SUMIFS(BasisProgramma[255],BasisProgramma[Element],$B22,BasisProgramma[Handeling],$C22)</f>
        <v>52</v>
      </c>
      <c r="E22" s="448">
        <f>SUMIFS(BasisProgramma[204],BasisProgramma[Element],$B22,BasisProgramma[Handeling],$C22)</f>
        <v>52</v>
      </c>
      <c r="F22" s="448">
        <f>SUMIFS([1]!BasisProgramma[156],[1]!BasisProgramma[Element],$B22,[1]!BasisProgramma[Handeling],$C22)</f>
        <v>52</v>
      </c>
      <c r="G22" s="448">
        <f>SUMIFS([1]!BasisProgramma[104],[1]!BasisProgramma[Element],$B22,[1]!BasisProgramma[Handeling],$C22)</f>
        <v>12</v>
      </c>
      <c r="H22" s="448">
        <f>SUMIFS([1]!BasisProgramma[52],[1]!BasisProgramma[Element],$B22,[1]!BasisProgramma[Handeling],$C22)</f>
        <v>12</v>
      </c>
      <c r="I22" s="461">
        <f>SUMIFS([1]!BasisProgramma[4],[1]!BasisProgramma[Element],$B22,[1]!BasisProgramma[Handeling],$C22)</f>
        <v>4</v>
      </c>
      <c r="J22" s="449"/>
    </row>
    <row r="23" spans="2:10" x14ac:dyDescent="0.2">
      <c r="B23" s="422" t="s">
        <v>442</v>
      </c>
      <c r="C23" s="79" t="s">
        <v>443</v>
      </c>
      <c r="D23" s="447">
        <f>SUMIFS(BasisProgramma[255],BasisProgramma[Element],$B23,BasisProgramma[Handeling],$C23)</f>
        <v>2</v>
      </c>
      <c r="E23" s="448">
        <f>SUMIFS(BasisProgramma[204],BasisProgramma[Element],$B23,BasisProgramma[Handeling],$C23)</f>
        <v>2</v>
      </c>
      <c r="F23" s="448">
        <f>SUMIFS([1]!BasisProgramma[156],[1]!BasisProgramma[Element],$B23,[1]!BasisProgramma[Handeling],$C23)</f>
        <v>2</v>
      </c>
      <c r="G23" s="448">
        <f>SUMIFS([1]!BasisProgramma[104],[1]!BasisProgramma[Element],$B23,[1]!BasisProgramma[Handeling],$C23)</f>
        <v>2</v>
      </c>
      <c r="H23" s="448">
        <f>SUMIFS([1]!BasisProgramma[52],[1]!BasisProgramma[Element],$B23,[1]!BasisProgramma[Handeling],$C23)</f>
        <v>2</v>
      </c>
      <c r="I23" s="461">
        <f>SUMIFS([1]!BasisProgramma[4],[1]!BasisProgramma[Element],$B23,[1]!BasisProgramma[Handeling],$C23)</f>
        <v>2</v>
      </c>
      <c r="J23" s="449"/>
    </row>
    <row r="24" spans="2:10" x14ac:dyDescent="0.2">
      <c r="B24" s="422" t="s">
        <v>500</v>
      </c>
      <c r="C24" s="79" t="s">
        <v>428</v>
      </c>
      <c r="D24" s="447">
        <f>SUMIFS(BasisProgramma[255],BasisProgramma[Element],$B24,BasisProgramma[Handeling],$C24)</f>
        <v>243</v>
      </c>
      <c r="E24" s="448">
        <f>SUMIFS(BasisProgramma[204],BasisProgramma[Element],$B24,BasisProgramma[Handeling],$C24)</f>
        <v>192</v>
      </c>
      <c r="F24" s="448">
        <f>SUMIFS([1]!BasisProgramma[156],[1]!BasisProgramma[Element],$B24,[1]!BasisProgramma[Handeling],$C24)</f>
        <v>144</v>
      </c>
      <c r="G24" s="448">
        <f>SUMIFS([1]!BasisProgramma[104],[1]!BasisProgramma[Element],$B24,[1]!BasisProgramma[Handeling],$C24)</f>
        <v>92</v>
      </c>
      <c r="H24" s="448">
        <f>SUMIFS([1]!BasisProgramma[52],[1]!BasisProgramma[Element],$B24,[1]!BasisProgramma[Handeling],$C24)</f>
        <v>46</v>
      </c>
      <c r="I24" s="461">
        <f>SUMIFS([1]!BasisProgramma[4],[1]!BasisProgramma[Element],$B24,[1]!BasisProgramma[Handeling],$C24)</f>
        <v>0</v>
      </c>
      <c r="J24" s="449"/>
    </row>
    <row r="25" spans="2:10" x14ac:dyDescent="0.2">
      <c r="B25" s="422" t="s">
        <v>500</v>
      </c>
      <c r="C25" s="79" t="s">
        <v>452</v>
      </c>
      <c r="D25" s="447">
        <f>SUMIFS(BasisProgramma[255],BasisProgramma[Element],$B25,BasisProgramma[Handeling],$C25)</f>
        <v>12</v>
      </c>
      <c r="E25" s="448">
        <f>SUMIFS(BasisProgramma[204],BasisProgramma[Element],$B25,BasisProgramma[Handeling],$C25)</f>
        <v>12</v>
      </c>
      <c r="F25" s="448">
        <f>SUMIFS([1]!BasisProgramma[156],[1]!BasisProgramma[Element],$B25,[1]!BasisProgramma[Handeling],$C25)</f>
        <v>12</v>
      </c>
      <c r="G25" s="448">
        <f>SUMIFS([1]!BasisProgramma[104],[1]!BasisProgramma[Element],$B25,[1]!BasisProgramma[Handeling],$C25)</f>
        <v>12</v>
      </c>
      <c r="H25" s="448">
        <f>SUMIFS([1]!BasisProgramma[52],[1]!BasisProgramma[Element],$B25,[1]!BasisProgramma[Handeling],$C25)</f>
        <v>6</v>
      </c>
      <c r="I25" s="461">
        <f>SUMIFS([1]!BasisProgramma[4],[1]!BasisProgramma[Element],$B25,[1]!BasisProgramma[Handeling],$C25)</f>
        <v>4</v>
      </c>
      <c r="J25" s="449"/>
    </row>
    <row r="26" spans="2:10" x14ac:dyDescent="0.2">
      <c r="B26" s="422" t="s">
        <v>501</v>
      </c>
      <c r="C26" s="79" t="s">
        <v>441</v>
      </c>
      <c r="D26" s="447">
        <f>SUMIFS(BasisProgramma[255],BasisProgramma[Element],$B26,BasisProgramma[Handeling],$C26)</f>
        <v>52</v>
      </c>
      <c r="E26" s="448">
        <f>SUMIFS(BasisProgramma[204],BasisProgramma[Element],$B26,BasisProgramma[Handeling],$C26)</f>
        <v>52</v>
      </c>
      <c r="F26" s="448">
        <f>SUMIFS([1]!BasisProgramma[156],[1]!BasisProgramma[Element],$B26,[1]!BasisProgramma[Handeling],$C26)</f>
        <v>52</v>
      </c>
      <c r="G26" s="448">
        <f>SUMIFS([1]!BasisProgramma[104],[1]!BasisProgramma[Element],$B26,[1]!BasisProgramma[Handeling],$C26)</f>
        <v>52</v>
      </c>
      <c r="H26" s="448">
        <f>SUMIFS([1]!BasisProgramma[52],[1]!BasisProgramma[Element],$B26,[1]!BasisProgramma[Handeling],$C26)</f>
        <v>52</v>
      </c>
      <c r="I26" s="461">
        <f>SUMIFS([1]!BasisProgramma[4],[1]!BasisProgramma[Element],$B26,[1]!BasisProgramma[Handeling],$C26)</f>
        <v>4</v>
      </c>
      <c r="J26" s="449"/>
    </row>
    <row r="27" spans="2:10" x14ac:dyDescent="0.2">
      <c r="B27" s="422" t="s">
        <v>487</v>
      </c>
      <c r="C27" s="79" t="s">
        <v>428</v>
      </c>
      <c r="D27" s="447">
        <f>SUMIFS(BasisProgramma[255],BasisProgramma[Element],$B27,BasisProgramma[Handeling],$C27)</f>
        <v>255</v>
      </c>
      <c r="E27" s="448">
        <f>SUMIFS(BasisProgramma[204],BasisProgramma[Element],$B27,BasisProgramma[Handeling],$C27)</f>
        <v>204</v>
      </c>
      <c r="F27" s="448">
        <f>SUMIFS([1]!BasisProgramma[156],[1]!BasisProgramma[Element],$B27,[1]!BasisProgramma[Handeling],$C27)</f>
        <v>156</v>
      </c>
      <c r="G27" s="448">
        <f>SUMIFS([1]!BasisProgramma[104],[1]!BasisProgramma[Element],$B27,[1]!BasisProgramma[Handeling],$C27)</f>
        <v>104</v>
      </c>
      <c r="H27" s="448">
        <f>SUMIFS([1]!BasisProgramma[52],[1]!BasisProgramma[Element],$B27,[1]!BasisProgramma[Handeling],$C27)</f>
        <v>52</v>
      </c>
      <c r="I27" s="461">
        <f>SUMIFS([1]!BasisProgramma[4],[1]!BasisProgramma[Element],$B27,[1]!BasisProgramma[Handeling],$C27)</f>
        <v>4</v>
      </c>
      <c r="J27" s="449"/>
    </row>
    <row r="28" spans="2:10" x14ac:dyDescent="0.2">
      <c r="B28" s="422" t="s">
        <v>444</v>
      </c>
      <c r="C28" s="79" t="s">
        <v>435</v>
      </c>
      <c r="D28" s="447">
        <f>SUMIFS(BasisProgramma[255],BasisProgramma[Element],$B28,BasisProgramma[Handeling],$C28)</f>
        <v>255</v>
      </c>
      <c r="E28" s="448">
        <f>SUMIFS(BasisProgramma[204],BasisProgramma[Element],$B28,BasisProgramma[Handeling],$C28)</f>
        <v>204</v>
      </c>
      <c r="F28" s="448">
        <f>SUMIFS([1]!BasisProgramma[156],[1]!BasisProgramma[Element],$B28,[1]!BasisProgramma[Handeling],$C28)</f>
        <v>156</v>
      </c>
      <c r="G28" s="448">
        <f>SUMIFS([1]!BasisProgramma[104],[1]!BasisProgramma[Element],$B28,[1]!BasisProgramma[Handeling],$C28)</f>
        <v>104</v>
      </c>
      <c r="H28" s="448">
        <f>SUMIFS([1]!BasisProgramma[52],[1]!BasisProgramma[Element],$B28,[1]!BasisProgramma[Handeling],$C28)</f>
        <v>52</v>
      </c>
      <c r="I28" s="461">
        <f>SUMIFS([1]!BasisProgramma[4],[1]!BasisProgramma[Element],$B28,[1]!BasisProgramma[Handeling],$C28)</f>
        <v>4</v>
      </c>
      <c r="J28" s="449"/>
    </row>
    <row r="29" spans="2:10" x14ac:dyDescent="0.2">
      <c r="B29" s="422" t="s">
        <v>445</v>
      </c>
      <c r="C29" s="79" t="s">
        <v>446</v>
      </c>
      <c r="D29" s="447">
        <f>SUMIFS(BasisProgramma[255],BasisProgramma[Element],$B29,BasisProgramma[Handeling],$C29)</f>
        <v>255</v>
      </c>
      <c r="E29" s="448">
        <f>SUMIFS(BasisProgramma[204],BasisProgramma[Element],$B29,BasisProgramma[Handeling],$C29)</f>
        <v>204</v>
      </c>
      <c r="F29" s="448">
        <f>SUMIFS([1]!BasisProgramma[156],[1]!BasisProgramma[Element],$B29,[1]!BasisProgramma[Handeling],$C29)</f>
        <v>156</v>
      </c>
      <c r="G29" s="448">
        <f>SUMIFS([1]!BasisProgramma[104],[1]!BasisProgramma[Element],$B29,[1]!BasisProgramma[Handeling],$C29)</f>
        <v>104</v>
      </c>
      <c r="H29" s="448">
        <f>SUMIFS([1]!BasisProgramma[52],[1]!BasisProgramma[Element],$B29,[1]!BasisProgramma[Handeling],$C29)</f>
        <v>52</v>
      </c>
      <c r="I29" s="461">
        <f>SUMIFS([1]!BasisProgramma[4],[1]!BasisProgramma[Element],$B29,[1]!BasisProgramma[Handeling],$C29)</f>
        <v>4</v>
      </c>
      <c r="J29" s="449"/>
    </row>
    <row r="30" spans="2:10" x14ac:dyDescent="0.2">
      <c r="B30" s="422" t="s">
        <v>495</v>
      </c>
      <c r="C30" s="79" t="s">
        <v>496</v>
      </c>
      <c r="D30" s="447">
        <f>SUMIFS(BasisProgramma[255],BasisProgramma[Element],$B30,BasisProgramma[Handeling],$C30)</f>
        <v>203</v>
      </c>
      <c r="E30" s="448">
        <f>SUMIFS(BasisProgramma[204],BasisProgramma[Element],$B30,BasisProgramma[Handeling],$C30)</f>
        <v>152</v>
      </c>
      <c r="F30" s="448">
        <f>SUMIFS([1]!BasisProgramma[156],[1]!BasisProgramma[Element],$B30,[1]!BasisProgramma[Handeling],$C30)</f>
        <v>104</v>
      </c>
      <c r="G30" s="448">
        <f>SUMIFS([1]!BasisProgramma[104],[1]!BasisProgramma[Element],$B30,[1]!BasisProgramma[Handeling],$C30)</f>
        <v>92</v>
      </c>
      <c r="H30" s="448">
        <f>SUMIFS([1]!BasisProgramma[52],[1]!BasisProgramma[Element],$B30,[1]!BasisProgramma[Handeling],$C30)</f>
        <v>40</v>
      </c>
      <c r="I30" s="461">
        <f>SUMIFS([1]!BasisProgramma[4],[1]!BasisProgramma[Element],$B30,[1]!BasisProgramma[Handeling],$C30)</f>
        <v>0</v>
      </c>
      <c r="J30" s="449"/>
    </row>
    <row r="31" spans="2:10" x14ac:dyDescent="0.2">
      <c r="B31" s="422" t="s">
        <v>495</v>
      </c>
      <c r="C31" s="79" t="s">
        <v>497</v>
      </c>
      <c r="D31" s="447">
        <f>SUMIFS(BasisProgramma[255],BasisProgramma[Element],$B31,BasisProgramma[Handeling],$C31)</f>
        <v>52</v>
      </c>
      <c r="E31" s="448">
        <f>SUMIFS(BasisProgramma[204],BasisProgramma[Element],$B31,BasisProgramma[Handeling],$C31)</f>
        <v>52</v>
      </c>
      <c r="F31" s="448">
        <f>SUMIFS([1]!BasisProgramma[156],[1]!BasisProgramma[Element],$B31,[1]!BasisProgramma[Handeling],$C31)</f>
        <v>52</v>
      </c>
      <c r="G31" s="448">
        <f>SUMIFS([1]!BasisProgramma[104],[1]!BasisProgramma[Element],$B31,[1]!BasisProgramma[Handeling],$C31)</f>
        <v>12</v>
      </c>
      <c r="H31" s="448">
        <f>SUMIFS([1]!BasisProgramma[52],[1]!BasisProgramma[Element],$B31,[1]!BasisProgramma[Handeling],$C31)</f>
        <v>12</v>
      </c>
      <c r="I31" s="461">
        <f>SUMIFS([1]!BasisProgramma[4],[1]!BasisProgramma[Element],$B31,[1]!BasisProgramma[Handeling],$C31)</f>
        <v>4</v>
      </c>
      <c r="J31" s="449"/>
    </row>
    <row r="32" spans="2:10" x14ac:dyDescent="0.2">
      <c r="B32" s="422" t="s">
        <v>447</v>
      </c>
      <c r="C32" s="79" t="s">
        <v>498</v>
      </c>
      <c r="D32" s="447">
        <f>SUMIFS(BasisProgramma[255],BasisProgramma[Element],$B32,BasisProgramma[Handeling],$C32)</f>
        <v>255</v>
      </c>
      <c r="E32" s="448">
        <f>SUMIFS(BasisProgramma[204],BasisProgramma[Element],$B32,BasisProgramma[Handeling],$C32)</f>
        <v>204</v>
      </c>
      <c r="F32" s="448">
        <f>SUMIFS([1]!BasisProgramma[156],[1]!BasisProgramma[Element],$B32,[1]!BasisProgramma[Handeling],$C32)</f>
        <v>156</v>
      </c>
      <c r="G32" s="448">
        <f>SUMIFS([1]!BasisProgramma[104],[1]!BasisProgramma[Element],$B32,[1]!BasisProgramma[Handeling],$C32)</f>
        <v>104</v>
      </c>
      <c r="H32" s="448">
        <f>SUMIFS([1]!BasisProgramma[52],[1]!BasisProgramma[Element],$B32,[1]!BasisProgramma[Handeling],$C32)</f>
        <v>52</v>
      </c>
      <c r="I32" s="461">
        <f>SUMIFS([1]!BasisProgramma[4],[1]!BasisProgramma[Element],$B32,[1]!BasisProgramma[Handeling],$C32)</f>
        <v>4</v>
      </c>
      <c r="J32" s="449"/>
    </row>
    <row r="33" spans="2:10" x14ac:dyDescent="0.2">
      <c r="B33" s="422" t="s">
        <v>448</v>
      </c>
      <c r="C33" s="79" t="s">
        <v>428</v>
      </c>
      <c r="D33" s="447">
        <f>SUMIFS(BasisProgramma[255],BasisProgramma[Element],$B33,BasisProgramma[Handeling],$C33)</f>
        <v>40</v>
      </c>
      <c r="E33" s="448">
        <f>SUMIFS(BasisProgramma[204],BasisProgramma[Element],$B33,BasisProgramma[Handeling],$C33)</f>
        <v>40</v>
      </c>
      <c r="F33" s="448">
        <f>SUMIFS([1]!BasisProgramma[156],[1]!BasisProgramma[Element],$B33,[1]!BasisProgramma[Handeling],$C33)</f>
        <v>40</v>
      </c>
      <c r="G33" s="448">
        <f>SUMIFS([1]!BasisProgramma[104],[1]!BasisProgramma[Element],$B33,[1]!BasisProgramma[Handeling],$C33)</f>
        <v>40</v>
      </c>
      <c r="H33" s="448">
        <f>SUMIFS([1]!BasisProgramma[52],[1]!BasisProgramma[Element],$B33,[1]!BasisProgramma[Handeling],$C33)</f>
        <v>40</v>
      </c>
      <c r="I33" s="461">
        <f>SUMIFS([1]!BasisProgramma[4],[1]!BasisProgramma[Element],$B33,[1]!BasisProgramma[Handeling],$C33)</f>
        <v>0</v>
      </c>
      <c r="J33" s="449"/>
    </row>
    <row r="34" spans="2:10" x14ac:dyDescent="0.2">
      <c r="B34" s="422" t="s">
        <v>448</v>
      </c>
      <c r="C34" s="79" t="s">
        <v>452</v>
      </c>
      <c r="D34" s="447">
        <f>SUMIFS(BasisProgramma[255],BasisProgramma[Element],$B34,BasisProgramma[Handeling],$C34)</f>
        <v>12</v>
      </c>
      <c r="E34" s="448">
        <f>SUMIFS(BasisProgramma[204],BasisProgramma[Element],$B34,BasisProgramma[Handeling],$C34)</f>
        <v>12</v>
      </c>
      <c r="F34" s="448">
        <f>SUMIFS([1]!BasisProgramma[156],[1]!BasisProgramma[Element],$B34,[1]!BasisProgramma[Handeling],$C34)</f>
        <v>12</v>
      </c>
      <c r="G34" s="448">
        <f>SUMIFS([1]!BasisProgramma[104],[1]!BasisProgramma[Element],$B34,[1]!BasisProgramma[Handeling],$C34)</f>
        <v>12</v>
      </c>
      <c r="H34" s="448">
        <f>SUMIFS([1]!BasisProgramma[52],[1]!BasisProgramma[Element],$B34,[1]!BasisProgramma[Handeling],$C34)</f>
        <v>12</v>
      </c>
      <c r="I34" s="461">
        <f>SUMIFS([1]!BasisProgramma[4],[1]!BasisProgramma[Element],$B34,[1]!BasisProgramma[Handeling],$C34)</f>
        <v>4</v>
      </c>
      <c r="J34" s="449"/>
    </row>
    <row r="35" spans="2:10" x14ac:dyDescent="0.2">
      <c r="B35" s="422" t="s">
        <v>450</v>
      </c>
      <c r="C35" s="79" t="s">
        <v>428</v>
      </c>
      <c r="D35" s="447">
        <f>SUMIFS(BasisProgramma[255],BasisProgramma[Element],$B35,BasisProgramma[Handeling],$C35)</f>
        <v>40</v>
      </c>
      <c r="E35" s="448">
        <f>SUMIFS(BasisProgramma[204],BasisProgramma[Element],$B35,BasisProgramma[Handeling],$C35)</f>
        <v>40</v>
      </c>
      <c r="F35" s="448">
        <f>SUMIFS([1]!BasisProgramma[156],[1]!BasisProgramma[Element],$B35,[1]!BasisProgramma[Handeling],$C35)</f>
        <v>40</v>
      </c>
      <c r="G35" s="448">
        <f>SUMIFS([1]!BasisProgramma[104],[1]!BasisProgramma[Element],$B35,[1]!BasisProgramma[Handeling],$C35)</f>
        <v>40</v>
      </c>
      <c r="H35" s="448">
        <f>SUMIFS([1]!BasisProgramma[52],[1]!BasisProgramma[Element],$B35,[1]!BasisProgramma[Handeling],$C35)</f>
        <v>40</v>
      </c>
      <c r="I35" s="461">
        <f>SUMIFS([1]!BasisProgramma[4],[1]!BasisProgramma[Element],$B35,[1]!BasisProgramma[Handeling],$C35)</f>
        <v>0</v>
      </c>
      <c r="J35" s="449"/>
    </row>
    <row r="36" spans="2:10" x14ac:dyDescent="0.2">
      <c r="B36" s="422" t="s">
        <v>450</v>
      </c>
      <c r="C36" s="79" t="s">
        <v>429</v>
      </c>
      <c r="D36" s="447">
        <f>SUMIFS(BasisProgramma[255],BasisProgramma[Element],$B36,BasisProgramma[Handeling],$C36)</f>
        <v>12</v>
      </c>
      <c r="E36" s="448">
        <f>SUMIFS(BasisProgramma[204],BasisProgramma[Element],$B36,BasisProgramma[Handeling],$C36)</f>
        <v>12</v>
      </c>
      <c r="F36" s="448">
        <f>SUMIFS([1]!BasisProgramma[156],[1]!BasisProgramma[Element],$B36,[1]!BasisProgramma[Handeling],$C36)</f>
        <v>12</v>
      </c>
      <c r="G36" s="448">
        <f>SUMIFS([1]!BasisProgramma[104],[1]!BasisProgramma[Element],$B36,[1]!BasisProgramma[Handeling],$C36)</f>
        <v>12</v>
      </c>
      <c r="H36" s="448">
        <f>SUMIFS([1]!BasisProgramma[52],[1]!BasisProgramma[Element],$B36,[1]!BasisProgramma[Handeling],$C36)</f>
        <v>12</v>
      </c>
      <c r="I36" s="461">
        <f>SUMIFS([1]!BasisProgramma[4],[1]!BasisProgramma[Element],$B36,[1]!BasisProgramma[Handeling],$C36)</f>
        <v>4</v>
      </c>
      <c r="J36" s="449"/>
    </row>
    <row r="37" spans="2:10" x14ac:dyDescent="0.2">
      <c r="B37" s="422" t="s">
        <v>744</v>
      </c>
      <c r="C37" s="78" t="s">
        <v>742</v>
      </c>
      <c r="D37" s="447">
        <f>SUMIFS(BasisProgramma[255],BasisProgramma[Element],$B37,BasisProgramma[Handeling],$C37)</f>
        <v>255</v>
      </c>
      <c r="E37" s="448">
        <f>SUMIFS(BasisProgramma[204],BasisProgramma[Element],$B37,BasisProgramma[Handeling],$C37)</f>
        <v>204</v>
      </c>
      <c r="F37" s="448">
        <f>SUMIFS([1]!BasisProgramma[156],[1]!BasisProgramma[Element],$B37,[1]!BasisProgramma[Handeling],$C37)</f>
        <v>156</v>
      </c>
      <c r="G37" s="448">
        <f>SUMIFS([1]!BasisProgramma[104],[1]!BasisProgramma[Element],$B37,[1]!BasisProgramma[Handeling],$C37)</f>
        <v>104</v>
      </c>
      <c r="H37" s="448">
        <f>SUMIFS([1]!BasisProgramma[52],[1]!BasisProgramma[Element],$B37,[1]!BasisProgramma[Handeling],$C37)</f>
        <v>52</v>
      </c>
      <c r="I37" s="461">
        <f>SUMIFS([1]!BasisProgramma[4],[1]!BasisProgramma[Element],$B37,[1]!BasisProgramma[Handeling],$C37)</f>
        <v>4</v>
      </c>
      <c r="J37" s="449"/>
    </row>
    <row r="38" spans="2:10" x14ac:dyDescent="0.2">
      <c r="B38" s="422" t="s">
        <v>744</v>
      </c>
      <c r="C38" s="78" t="s">
        <v>483</v>
      </c>
      <c r="D38" s="447">
        <f>SUMIFS(BasisProgramma[255],BasisProgramma[Element],$B38,BasisProgramma[Handeling],$C38)</f>
        <v>52</v>
      </c>
      <c r="E38" s="448">
        <f>SUMIFS(BasisProgramma[204],BasisProgramma[Element],$B38,BasisProgramma[Handeling],$C38)</f>
        <v>52</v>
      </c>
      <c r="F38" s="448">
        <f>SUMIFS([1]!BasisProgramma[156],[1]!BasisProgramma[Element],$B38,[1]!BasisProgramma[Handeling],$C38)</f>
        <v>52</v>
      </c>
      <c r="G38" s="448">
        <f>SUMIFS([1]!BasisProgramma[104],[1]!BasisProgramma[Element],$B38,[1]!BasisProgramma[Handeling],$C38)</f>
        <v>52</v>
      </c>
      <c r="H38" s="448">
        <f>SUMIFS([1]!BasisProgramma[52],[1]!BasisProgramma[Element],$B38,[1]!BasisProgramma[Handeling],$C38)</f>
        <v>52</v>
      </c>
      <c r="I38" s="461">
        <f>SUMIFS([1]!BasisProgramma[4],[1]!BasisProgramma[Element],$B38,[1]!BasisProgramma[Handeling],$C38)</f>
        <v>4</v>
      </c>
      <c r="J38" s="449"/>
    </row>
    <row r="39" spans="2:10" x14ac:dyDescent="0.2">
      <c r="B39" s="422" t="s">
        <v>744</v>
      </c>
      <c r="C39" s="78" t="s">
        <v>741</v>
      </c>
      <c r="D39" s="447">
        <f>SUMIFS(BasisProgramma[255],BasisProgramma[Element],$B39,BasisProgramma[Handeling],$C39)</f>
        <v>4</v>
      </c>
      <c r="E39" s="448">
        <f>SUMIFS(BasisProgramma[204],BasisProgramma[Element],$B39,BasisProgramma[Handeling],$C39)</f>
        <v>4</v>
      </c>
      <c r="F39" s="448">
        <f>SUMIFS([1]!BasisProgramma[156],[1]!BasisProgramma[Element],$B39,[1]!BasisProgramma[Handeling],$C39)</f>
        <v>4</v>
      </c>
      <c r="G39" s="448">
        <f>SUMIFS([1]!BasisProgramma[104],[1]!BasisProgramma[Element],$B39,[1]!BasisProgramma[Handeling],$C39)</f>
        <v>4</v>
      </c>
      <c r="H39" s="448">
        <f>SUMIFS([1]!BasisProgramma[52],[1]!BasisProgramma[Element],$B39,[1]!BasisProgramma[Handeling],$C39)</f>
        <v>4</v>
      </c>
      <c r="I39" s="461">
        <f>SUMIFS([1]!BasisProgramma[4],[1]!BasisProgramma[Element],$B39,[1]!BasisProgramma[Handeling],$C39)</f>
        <v>4</v>
      </c>
      <c r="J39" s="449"/>
    </row>
    <row r="40" spans="2:10" x14ac:dyDescent="0.2">
      <c r="B40" s="422" t="s">
        <v>686</v>
      </c>
      <c r="C40" s="79" t="s">
        <v>749</v>
      </c>
      <c r="D40" s="447">
        <f>SUMIFS(BasisProgramma[255],BasisProgramma[Element],$B40,BasisProgramma[Handeling],$C40)</f>
        <v>203</v>
      </c>
      <c r="E40" s="448">
        <f>SUMIFS(BasisProgramma[204],BasisProgramma[Element],$B40,BasisProgramma[Handeling],$C40)</f>
        <v>152</v>
      </c>
      <c r="F40" s="448">
        <f>SUMIFS([1]!BasisProgramma[156],[1]!BasisProgramma[Element],$B40,[1]!BasisProgramma[Handeling],$C40)</f>
        <v>104</v>
      </c>
      <c r="G40" s="448">
        <f>SUMIFS([1]!BasisProgramma[104],[1]!BasisProgramma[Element],$B40,[1]!BasisProgramma[Handeling],$C40)</f>
        <v>52</v>
      </c>
      <c r="H40" s="448">
        <f>SUMIFS([1]!BasisProgramma[52],[1]!BasisProgramma[Element],$B40,[1]!BasisProgramma[Handeling],$C40)</f>
        <v>0</v>
      </c>
      <c r="I40" s="461">
        <f>SUMIFS([1]!BasisProgramma[4],[1]!BasisProgramma[Element],$B40,[1]!BasisProgramma[Handeling],$C40)</f>
        <v>0</v>
      </c>
      <c r="J40" s="449"/>
    </row>
    <row r="41" spans="2:10" x14ac:dyDescent="0.2">
      <c r="B41" s="422" t="s">
        <v>686</v>
      </c>
      <c r="C41" s="79" t="s">
        <v>472</v>
      </c>
      <c r="D41" s="447">
        <f>SUMIFS(BasisProgramma[255],BasisProgramma[Element],$B41,BasisProgramma[Handeling],$C41)</f>
        <v>255</v>
      </c>
      <c r="E41" s="448">
        <f>SUMIFS(BasisProgramma[204],BasisProgramma[Element],$B41,BasisProgramma[Handeling],$C41)</f>
        <v>204</v>
      </c>
      <c r="F41" s="448">
        <f>SUMIFS([1]!BasisProgramma[156],[1]!BasisProgramma[Element],$B41,[1]!BasisProgramma[Handeling],$C41)</f>
        <v>156</v>
      </c>
      <c r="G41" s="448">
        <f>SUMIFS([1]!BasisProgramma[104],[1]!BasisProgramma[Element],$B41,[1]!BasisProgramma[Handeling],$C41)</f>
        <v>104</v>
      </c>
      <c r="H41" s="448">
        <f>SUMIFS([1]!BasisProgramma[52],[1]!BasisProgramma[Element],$B41,[1]!BasisProgramma[Handeling],$C41)</f>
        <v>52</v>
      </c>
      <c r="I41" s="461">
        <f>SUMIFS([1]!BasisProgramma[4],[1]!BasisProgramma[Element],$B41,[1]!BasisProgramma[Handeling],$C41)</f>
        <v>4</v>
      </c>
      <c r="J41" s="449"/>
    </row>
    <row r="42" spans="2:10" ht="12.75" thickBot="1" x14ac:dyDescent="0.25">
      <c r="B42" s="459" t="s">
        <v>686</v>
      </c>
      <c r="C42" s="424" t="s">
        <v>750</v>
      </c>
      <c r="D42" s="456">
        <f>SUMIFS(BasisProgramma[255],BasisProgramma[Element],$B42,BasisProgramma[Handeling],$C42)</f>
        <v>52</v>
      </c>
      <c r="E42" s="457">
        <f>SUMIFS(BasisProgramma[204],BasisProgramma[Element],$B42,BasisProgramma[Handeling],$C42)</f>
        <v>52</v>
      </c>
      <c r="F42" s="457">
        <f>SUMIFS([1]!BasisProgramma[156],[1]!BasisProgramma[Element],$B42,[1]!BasisProgramma[Handeling],$C42)</f>
        <v>52</v>
      </c>
      <c r="G42" s="457">
        <f>SUMIFS([1]!BasisProgramma[104],[1]!BasisProgramma[Element],$B42,[1]!BasisProgramma[Handeling],$C42)</f>
        <v>52</v>
      </c>
      <c r="H42" s="457">
        <f>SUMIFS([1]!BasisProgramma[52],[1]!BasisProgramma[Element],$B42,[1]!BasisProgramma[Handeling],$C42)</f>
        <v>52</v>
      </c>
      <c r="I42" s="463">
        <f>SUMIFS([1]!BasisProgramma[4],[1]!BasisProgramma[Element],$B42,[1]!BasisProgramma[Handeling],$C42)</f>
        <v>4</v>
      </c>
      <c r="J42" s="458"/>
    </row>
  </sheetData>
  <sheetProtection algorithmName="SHA-512" hashValue="f6LtR+tsoxWakvDWB5R5PDRNRcaXaVRSMzRs59CQCMBcTUatfmtQmDdIg385AjLTojK+uRWvOu8irpzaWXOv5w==" saltValue="tNjRWdVF6knKlPvcSDncBg==" spinCount="100000" sheet="1" objects="1" scenarios="1"/>
  <mergeCells count="1">
    <mergeCell ref="B1:J1"/>
  </mergeCells>
  <printOptions horizontalCentered="1" verticalCentered="1"/>
  <pageMargins left="0.70866141732283472" right="0.70866141732283472" top="0.74803149606299213" bottom="0.74803149606299213" header="0.31496062992125984" footer="0.31496062992125984"/>
  <pageSetup paperSize="9" scale="72" orientation="portrait" horizontalDpi="0" verticalDpi="0" r:id="rId1"/>
  <headerFooter>
    <oddHeader>&amp;L&amp;9&amp;K04-047Werkprogramma - Kantoorruimte&amp;R&amp;G</oddHeader>
    <oddFooter>&amp;L&amp;9&amp;K04-049Offerteaanvraag EU Openbare aanbesteding Schoonmaakonderhoud&amp;C&amp;9&amp;K04-049 8 april 2022&amp;R&amp;9&amp;K04-049Blad &amp;P van &amp;N</oddFooter>
  </headerFooter>
  <ignoredErrors>
    <ignoredError sqref="D3:E3" numberStoredAsText="1"/>
    <ignoredError sqref="D4:E4 D5:E42" numberStoredAsText="1" unlockedFormula="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E82FF-F363-42BC-A0FA-293327C58503}">
  <sheetPr>
    <tabColor theme="7" tint="0.59999389629810485"/>
    <pageSetUpPr fitToPage="1"/>
  </sheetPr>
  <dimension ref="B1:J61"/>
  <sheetViews>
    <sheetView showGridLines="0" showRowColHeaders="0" workbookViewId="0">
      <pane ySplit="3" topLeftCell="A4" activePane="bottomLeft" state="frozen"/>
      <selection activeCell="B5" sqref="B5"/>
      <selection pane="bottomLeft" activeCell="L38" sqref="L38"/>
    </sheetView>
  </sheetViews>
  <sheetFormatPr defaultColWidth="9.140625" defaultRowHeight="12" x14ac:dyDescent="0.2"/>
  <cols>
    <col min="1" max="1" width="9.140625" style="7"/>
    <col min="2" max="2" width="44.7109375" style="7" bestFit="1" customWidth="1"/>
    <col min="3" max="3" width="45.85546875" style="7" bestFit="1" customWidth="1"/>
    <col min="4" max="5" width="9.140625" style="84"/>
    <col min="6" max="9" width="9.140625" style="84" hidden="1" customWidth="1"/>
    <col min="10" max="10" width="1.7109375" style="84" customWidth="1"/>
    <col min="11" max="16384" width="9.140625" style="7"/>
  </cols>
  <sheetData>
    <row r="1" spans="2:10" ht="25.5" customHeight="1" thickBot="1" x14ac:dyDescent="0.25">
      <c r="B1" s="603" t="s">
        <v>759</v>
      </c>
      <c r="C1" s="604"/>
      <c r="D1" s="604"/>
      <c r="E1" s="604"/>
      <c r="F1" s="604"/>
      <c r="G1" s="604"/>
      <c r="H1" s="604"/>
      <c r="I1" s="604"/>
      <c r="J1" s="605"/>
    </row>
    <row r="2" spans="2:10" ht="12.75" thickBot="1" x14ac:dyDescent="0.25"/>
    <row r="3" spans="2:10" ht="12.75" thickBot="1" x14ac:dyDescent="0.25">
      <c r="B3" s="412" t="s">
        <v>451</v>
      </c>
      <c r="C3" s="413" t="s">
        <v>388</v>
      </c>
      <c r="D3" s="414" t="s">
        <v>751</v>
      </c>
      <c r="E3" s="415" t="s">
        <v>752</v>
      </c>
      <c r="F3" s="416" t="s">
        <v>753</v>
      </c>
      <c r="G3" s="416" t="s">
        <v>754</v>
      </c>
      <c r="H3" s="416" t="s">
        <v>755</v>
      </c>
      <c r="I3" s="428" t="s">
        <v>756</v>
      </c>
      <c r="J3" s="417"/>
    </row>
    <row r="4" spans="2:10" x14ac:dyDescent="0.2">
      <c r="B4" s="418" t="s">
        <v>489</v>
      </c>
      <c r="C4" s="419" t="s">
        <v>490</v>
      </c>
      <c r="D4" s="444">
        <f>SUMIFS(BasisProgramma[255],BasisProgramma[Element],$B4,BasisProgramma[Handeling],$C4)</f>
        <v>203</v>
      </c>
      <c r="E4" s="445">
        <f>SUMIFS(BasisProgramma[204],BasisProgramma[Element],$B4,BasisProgramma[Handeling],$C4)</f>
        <v>152</v>
      </c>
      <c r="F4" s="445">
        <f>SUMIFS([1]!BasisProgramma[156],[1]!BasisProgramma[Element],$B4,[1]!BasisProgramma[Handeling],$C4)</f>
        <v>104</v>
      </c>
      <c r="G4" s="445">
        <f>SUMIFS([1]!BasisProgramma[104],[1]!BasisProgramma[Element],$B4,[1]!BasisProgramma[Handeling],$C4)</f>
        <v>52</v>
      </c>
      <c r="H4" s="445">
        <f>SUMIFS([1]!BasisProgramma[52],[1]!BasisProgramma[Element],$B4,[1]!BasisProgramma[Handeling],$C4)</f>
        <v>0</v>
      </c>
      <c r="I4" s="460">
        <f>SUMIFS([1]!BasisProgramma[4],[1]!BasisProgramma[Element],$B4,[1]!BasisProgramma[Handeling],$C4)</f>
        <v>0</v>
      </c>
      <c r="J4" s="446"/>
    </row>
    <row r="5" spans="2:10" x14ac:dyDescent="0.2">
      <c r="B5" s="422" t="s">
        <v>489</v>
      </c>
      <c r="C5" s="79" t="s">
        <v>491</v>
      </c>
      <c r="D5" s="447">
        <f>SUMIFS(BasisProgramma[255],BasisProgramma[Element],$B5,BasisProgramma[Handeling],$C5)</f>
        <v>52</v>
      </c>
      <c r="E5" s="448">
        <f>SUMIFS(BasisProgramma[204],BasisProgramma[Element],$B5,BasisProgramma[Handeling],$C5)</f>
        <v>52</v>
      </c>
      <c r="F5" s="448">
        <f>SUMIFS([1]!BasisProgramma[156],[1]!BasisProgramma[Element],$B5,[1]!BasisProgramma[Handeling],$C5)</f>
        <v>52</v>
      </c>
      <c r="G5" s="448">
        <f>SUMIFS([1]!BasisProgramma[104],[1]!BasisProgramma[Element],$B5,[1]!BasisProgramma[Handeling],$C5)</f>
        <v>52</v>
      </c>
      <c r="H5" s="448">
        <f>SUMIFS([1]!BasisProgramma[52],[1]!BasisProgramma[Element],$B5,[1]!BasisProgramma[Handeling],$C5)</f>
        <v>52</v>
      </c>
      <c r="I5" s="461">
        <f>SUMIFS([1]!BasisProgramma[4],[1]!BasisProgramma[Element],$B5,[1]!BasisProgramma[Handeling],$C5)</f>
        <v>4</v>
      </c>
      <c r="J5" s="449"/>
    </row>
    <row r="6" spans="2:10" x14ac:dyDescent="0.2">
      <c r="B6" s="422" t="s">
        <v>494</v>
      </c>
      <c r="C6" s="79" t="s">
        <v>427</v>
      </c>
      <c r="D6" s="447">
        <f>SUMIFS(BasisProgramma[255],BasisProgramma[Element],$B6,BasisProgramma[Handeling],$C6)</f>
        <v>255</v>
      </c>
      <c r="E6" s="448">
        <f>SUMIFS(BasisProgramma[204],BasisProgramma[Element],$B6,BasisProgramma[Handeling],$C6)</f>
        <v>204</v>
      </c>
      <c r="F6" s="448">
        <f>SUMIFS([1]!BasisProgramma[156],[1]!BasisProgramma[Element],$B6,[1]!BasisProgramma[Handeling],$C6)</f>
        <v>156</v>
      </c>
      <c r="G6" s="448">
        <f>SUMIFS([1]!BasisProgramma[104],[1]!BasisProgramma[Element],$B6,[1]!BasisProgramma[Handeling],$C6)</f>
        <v>104</v>
      </c>
      <c r="H6" s="448">
        <f>SUMIFS([1]!BasisProgramma[52],[1]!BasisProgramma[Element],$B6,[1]!BasisProgramma[Handeling],$C6)</f>
        <v>52</v>
      </c>
      <c r="I6" s="461">
        <f>SUMIFS([1]!BasisProgramma[4],[1]!BasisProgramma[Element],$B6,[1]!BasisProgramma[Handeling],$C6)</f>
        <v>4</v>
      </c>
      <c r="J6" s="449"/>
    </row>
    <row r="7" spans="2:10" x14ac:dyDescent="0.2">
      <c r="B7" s="422" t="s">
        <v>494</v>
      </c>
      <c r="C7" s="79" t="s">
        <v>428</v>
      </c>
      <c r="D7" s="447">
        <f>SUMIFS(BasisProgramma[255],BasisProgramma[Element],$B7,BasisProgramma[Handeling],$C7)</f>
        <v>203</v>
      </c>
      <c r="E7" s="448">
        <f>SUMIFS(BasisProgramma[204],BasisProgramma[Element],$B7,BasisProgramma[Handeling],$C7)</f>
        <v>152</v>
      </c>
      <c r="F7" s="448">
        <f>SUMIFS([1]!BasisProgramma[156],[1]!BasisProgramma[Element],$B7,[1]!BasisProgramma[Handeling],$C7)</f>
        <v>104</v>
      </c>
      <c r="G7" s="448">
        <f>SUMIFS([1]!BasisProgramma[104],[1]!BasisProgramma[Element],$B7,[1]!BasisProgramma[Handeling],$C7)</f>
        <v>92</v>
      </c>
      <c r="H7" s="448">
        <f>SUMIFS([1]!BasisProgramma[52],[1]!BasisProgramma[Element],$B7,[1]!BasisProgramma[Handeling],$C7)</f>
        <v>46</v>
      </c>
      <c r="I7" s="461">
        <f>SUMIFS([1]!BasisProgramma[4],[1]!BasisProgramma[Element],$B7,[1]!BasisProgramma[Handeling],$C7)</f>
        <v>0</v>
      </c>
      <c r="J7" s="449"/>
    </row>
    <row r="8" spans="2:10" x14ac:dyDescent="0.2">
      <c r="B8" s="422" t="s">
        <v>494</v>
      </c>
      <c r="C8" s="79" t="s">
        <v>429</v>
      </c>
      <c r="D8" s="447">
        <f>SUMIFS(BasisProgramma[255],BasisProgramma[Element],$B8,BasisProgramma[Handeling],$C8)</f>
        <v>52</v>
      </c>
      <c r="E8" s="448">
        <f>SUMIFS(BasisProgramma[204],BasisProgramma[Element],$B8,BasisProgramma[Handeling],$C8)</f>
        <v>52</v>
      </c>
      <c r="F8" s="448">
        <f>SUMIFS([1]!BasisProgramma[156],[1]!BasisProgramma[Element],$B8,[1]!BasisProgramma[Handeling],$C8)</f>
        <v>52</v>
      </c>
      <c r="G8" s="448">
        <f>SUMIFS([1]!BasisProgramma[104],[1]!BasisProgramma[Element],$B8,[1]!BasisProgramma[Handeling],$C8)</f>
        <v>12</v>
      </c>
      <c r="H8" s="448">
        <f>SUMIFS([1]!BasisProgramma[52],[1]!BasisProgramma[Element],$B8,[1]!BasisProgramma[Handeling],$C8)</f>
        <v>6</v>
      </c>
      <c r="I8" s="461">
        <f>SUMIFS([1]!BasisProgramma[4],[1]!BasisProgramma[Element],$B8,[1]!BasisProgramma[Handeling],$C8)</f>
        <v>4</v>
      </c>
      <c r="J8" s="449"/>
    </row>
    <row r="9" spans="2:10" x14ac:dyDescent="0.2">
      <c r="B9" s="422" t="s">
        <v>720</v>
      </c>
      <c r="C9" s="79" t="s">
        <v>428</v>
      </c>
      <c r="D9" s="447">
        <f>SUMIFS(BasisProgramma[255],BasisProgramma[Element],$B9,BasisProgramma[Handeling],$C9)</f>
        <v>203</v>
      </c>
      <c r="E9" s="448">
        <f>SUMIFS(BasisProgramma[204],BasisProgramma[Element],$B9,BasisProgramma[Handeling],$C9)</f>
        <v>152</v>
      </c>
      <c r="F9" s="448">
        <f>SUMIFS([1]!BasisProgramma[156],[1]!BasisProgramma[Element],$B9,[1]!BasisProgramma[Handeling],$C9)</f>
        <v>104</v>
      </c>
      <c r="G9" s="448">
        <f>SUMIFS([1]!BasisProgramma[104],[1]!BasisProgramma[Element],$B9,[1]!BasisProgramma[Handeling],$C9)</f>
        <v>52</v>
      </c>
      <c r="H9" s="448">
        <f>SUMIFS([1]!BasisProgramma[52],[1]!BasisProgramma[Element],$B9,[1]!BasisProgramma[Handeling],$C9)</f>
        <v>0</v>
      </c>
      <c r="I9" s="461">
        <f>SUMIFS([1]!BasisProgramma[4],[1]!BasisProgramma[Element],$B9,[1]!BasisProgramma[Handeling],$C9)</f>
        <v>0</v>
      </c>
      <c r="J9" s="449"/>
    </row>
    <row r="10" spans="2:10" x14ac:dyDescent="0.2">
      <c r="B10" s="422" t="s">
        <v>720</v>
      </c>
      <c r="C10" s="79" t="s">
        <v>452</v>
      </c>
      <c r="D10" s="447">
        <f>SUMIFS(BasisProgramma[255],BasisProgramma[Element],$B10,BasisProgramma[Handeling],$C10)</f>
        <v>52</v>
      </c>
      <c r="E10" s="448">
        <f>SUMIFS(BasisProgramma[204],BasisProgramma[Element],$B10,BasisProgramma[Handeling],$C10)</f>
        <v>52</v>
      </c>
      <c r="F10" s="448">
        <f>SUMIFS([1]!BasisProgramma[156],[1]!BasisProgramma[Element],$B10,[1]!BasisProgramma[Handeling],$C10)</f>
        <v>52</v>
      </c>
      <c r="G10" s="448">
        <f>SUMIFS([1]!BasisProgramma[104],[1]!BasisProgramma[Element],$B10,[1]!BasisProgramma[Handeling],$C10)</f>
        <v>52</v>
      </c>
      <c r="H10" s="448">
        <f>SUMIFS([1]!BasisProgramma[52],[1]!BasisProgramma[Element],$B10,[1]!BasisProgramma[Handeling],$C10)</f>
        <v>52</v>
      </c>
      <c r="I10" s="461">
        <f>SUMIFS([1]!BasisProgramma[4],[1]!BasisProgramma[Element],$B10,[1]!BasisProgramma[Handeling],$C10)</f>
        <v>4</v>
      </c>
      <c r="J10" s="449"/>
    </row>
    <row r="11" spans="2:10" x14ac:dyDescent="0.2">
      <c r="B11" s="422" t="s">
        <v>430</v>
      </c>
      <c r="C11" s="79" t="s">
        <v>428</v>
      </c>
      <c r="D11" s="447">
        <f>SUMIFS(BasisProgramma[255],BasisProgramma[Element],$B11,BasisProgramma[Handeling],$C11)</f>
        <v>203</v>
      </c>
      <c r="E11" s="448">
        <f>SUMIFS(BasisProgramma[204],BasisProgramma[Element],$B11,BasisProgramma[Handeling],$C11)</f>
        <v>152</v>
      </c>
      <c r="F11" s="448">
        <f>SUMIFS([1]!BasisProgramma[156],[1]!BasisProgramma[Element],$B11,[1]!BasisProgramma[Handeling],$C11)</f>
        <v>104</v>
      </c>
      <c r="G11" s="448">
        <f>SUMIFS([1]!BasisProgramma[104],[1]!BasisProgramma[Element],$B11,[1]!BasisProgramma[Handeling],$C11)</f>
        <v>92</v>
      </c>
      <c r="H11" s="448">
        <f>SUMIFS([1]!BasisProgramma[52],[1]!BasisProgramma[Element],$B11,[1]!BasisProgramma[Handeling],$C11)</f>
        <v>40</v>
      </c>
      <c r="I11" s="461">
        <f>SUMIFS([1]!BasisProgramma[4],[1]!BasisProgramma[Element],$B11,[1]!BasisProgramma[Handeling],$C11)</f>
        <v>0</v>
      </c>
      <c r="J11" s="449"/>
    </row>
    <row r="12" spans="2:10" x14ac:dyDescent="0.2">
      <c r="B12" s="422" t="s">
        <v>430</v>
      </c>
      <c r="C12" s="79" t="s">
        <v>431</v>
      </c>
      <c r="D12" s="447">
        <f>SUMIFS(BasisProgramma[255],BasisProgramma[Element],$B12,BasisProgramma[Handeling],$C12)</f>
        <v>52</v>
      </c>
      <c r="E12" s="448">
        <f>SUMIFS(BasisProgramma[204],BasisProgramma[Element],$B12,BasisProgramma[Handeling],$C12)</f>
        <v>52</v>
      </c>
      <c r="F12" s="448">
        <f>SUMIFS([1]!BasisProgramma[156],[1]!BasisProgramma[Element],$B12,[1]!BasisProgramma[Handeling],$C12)</f>
        <v>52</v>
      </c>
      <c r="G12" s="448">
        <f>SUMIFS([1]!BasisProgramma[104],[1]!BasisProgramma[Element],$B12,[1]!BasisProgramma[Handeling],$C12)</f>
        <v>12</v>
      </c>
      <c r="H12" s="448">
        <f>SUMIFS([1]!BasisProgramma[52],[1]!BasisProgramma[Element],$B12,[1]!BasisProgramma[Handeling],$C12)</f>
        <v>12</v>
      </c>
      <c r="I12" s="461">
        <f>SUMIFS([1]!BasisProgramma[4],[1]!BasisProgramma[Element],$B12,[1]!BasisProgramma[Handeling],$C12)</f>
        <v>4</v>
      </c>
      <c r="J12" s="449"/>
    </row>
    <row r="13" spans="2:10" x14ac:dyDescent="0.2">
      <c r="B13" s="422" t="s">
        <v>485</v>
      </c>
      <c r="C13" s="79" t="s">
        <v>428</v>
      </c>
      <c r="D13" s="447">
        <f>SUMIFS(BasisProgramma[255],BasisProgramma[Element],$B13,BasisProgramma[Handeling],$C13)</f>
        <v>52</v>
      </c>
      <c r="E13" s="448">
        <f>SUMIFS(BasisProgramma[204],BasisProgramma[Element],$B13,BasisProgramma[Handeling],$C13)</f>
        <v>52</v>
      </c>
      <c r="F13" s="448">
        <f>SUMIFS([1]!BasisProgramma[156],[1]!BasisProgramma[Element],$B13,[1]!BasisProgramma[Handeling],$C13)</f>
        <v>52</v>
      </c>
      <c r="G13" s="448">
        <f>SUMIFS([1]!BasisProgramma[104],[1]!BasisProgramma[Element],$B13,[1]!BasisProgramma[Handeling],$C13)</f>
        <v>12</v>
      </c>
      <c r="H13" s="448">
        <f>SUMIFS([1]!BasisProgramma[52],[1]!BasisProgramma[Element],$B13,[1]!BasisProgramma[Handeling],$C13)</f>
        <v>12</v>
      </c>
      <c r="I13" s="461">
        <f>SUMIFS([1]!BasisProgramma[4],[1]!BasisProgramma[Element],$B13,[1]!BasisProgramma[Handeling],$C13)</f>
        <v>4</v>
      </c>
      <c r="J13" s="449"/>
    </row>
    <row r="14" spans="2:10" x14ac:dyDescent="0.2">
      <c r="B14" s="422" t="s">
        <v>432</v>
      </c>
      <c r="C14" s="79" t="s">
        <v>428</v>
      </c>
      <c r="D14" s="447">
        <f>SUMIFS(BasisProgramma[255],BasisProgramma[Element],$B14,BasisProgramma[Handeling],$C14)</f>
        <v>243</v>
      </c>
      <c r="E14" s="448">
        <f>SUMIFS(BasisProgramma[204],BasisProgramma[Element],$B14,BasisProgramma[Handeling],$C14)</f>
        <v>192</v>
      </c>
      <c r="F14" s="448">
        <f>SUMIFS([1]!BasisProgramma[156],[1]!BasisProgramma[Element],$B14,[1]!BasisProgramma[Handeling],$C14)</f>
        <v>144</v>
      </c>
      <c r="G14" s="448">
        <f>SUMIFS([1]!BasisProgramma[104],[1]!BasisProgramma[Element],$B14,[1]!BasisProgramma[Handeling],$C14)</f>
        <v>92</v>
      </c>
      <c r="H14" s="448">
        <f>SUMIFS([1]!BasisProgramma[52],[1]!BasisProgramma[Element],$B14,[1]!BasisProgramma[Handeling],$C14)</f>
        <v>46</v>
      </c>
      <c r="I14" s="461">
        <f>SUMIFS([1]!BasisProgramma[4],[1]!BasisProgramma[Element],$B14,[1]!BasisProgramma[Handeling],$C14)</f>
        <v>0</v>
      </c>
      <c r="J14" s="449"/>
    </row>
    <row r="15" spans="2:10" x14ac:dyDescent="0.2">
      <c r="B15" s="422" t="s">
        <v>432</v>
      </c>
      <c r="C15" s="79" t="s">
        <v>433</v>
      </c>
      <c r="D15" s="447">
        <f>SUMIFS(BasisProgramma[255],BasisProgramma[Element],$B15,BasisProgramma[Handeling],$C15)</f>
        <v>243</v>
      </c>
      <c r="E15" s="448">
        <f>SUMIFS(BasisProgramma[204],BasisProgramma[Element],$B15,BasisProgramma[Handeling],$C15)</f>
        <v>192</v>
      </c>
      <c r="F15" s="448">
        <f>SUMIFS([1]!BasisProgramma[156],[1]!BasisProgramma[Element],$B15,[1]!BasisProgramma[Handeling],$C15)</f>
        <v>144</v>
      </c>
      <c r="G15" s="448">
        <f>SUMIFS([1]!BasisProgramma[104],[1]!BasisProgramma[Element],$B15,[1]!BasisProgramma[Handeling],$C15)</f>
        <v>92</v>
      </c>
      <c r="H15" s="448">
        <f>SUMIFS([1]!BasisProgramma[52],[1]!BasisProgramma[Element],$B15,[1]!BasisProgramma[Handeling],$C15)</f>
        <v>46</v>
      </c>
      <c r="I15" s="461">
        <f>SUMIFS([1]!BasisProgramma[4],[1]!BasisProgramma[Element],$B15,[1]!BasisProgramma[Handeling],$C15)</f>
        <v>0</v>
      </c>
      <c r="J15" s="449"/>
    </row>
    <row r="16" spans="2:10" x14ac:dyDescent="0.2">
      <c r="B16" s="422" t="s">
        <v>432</v>
      </c>
      <c r="C16" s="79" t="s">
        <v>429</v>
      </c>
      <c r="D16" s="447">
        <f>SUMIFS(BasisProgramma[255],BasisProgramma[Element],$B16,BasisProgramma[Handeling],$C16)</f>
        <v>12</v>
      </c>
      <c r="E16" s="448">
        <f>SUMIFS(BasisProgramma[204],BasisProgramma[Element],$B16,BasisProgramma[Handeling],$C16)</f>
        <v>12</v>
      </c>
      <c r="F16" s="448">
        <f>SUMIFS([1]!BasisProgramma[156],[1]!BasisProgramma[Element],$B16,[1]!BasisProgramma[Handeling],$C16)</f>
        <v>12</v>
      </c>
      <c r="G16" s="448">
        <f>SUMIFS([1]!BasisProgramma[104],[1]!BasisProgramma[Element],$B16,[1]!BasisProgramma[Handeling],$C16)</f>
        <v>12</v>
      </c>
      <c r="H16" s="448">
        <f>SUMIFS([1]!BasisProgramma[52],[1]!BasisProgramma[Element],$B16,[1]!BasisProgramma[Handeling],$C16)</f>
        <v>6</v>
      </c>
      <c r="I16" s="461">
        <f>SUMIFS([1]!BasisProgramma[4],[1]!BasisProgramma[Element],$B16,[1]!BasisProgramma[Handeling],$C16)</f>
        <v>4</v>
      </c>
      <c r="J16" s="449"/>
    </row>
    <row r="17" spans="2:10" x14ac:dyDescent="0.2">
      <c r="B17" s="422" t="s">
        <v>434</v>
      </c>
      <c r="C17" s="79" t="s">
        <v>435</v>
      </c>
      <c r="D17" s="447">
        <f>SUMIFS(BasisProgramma[255],BasisProgramma[Element],$B17,BasisProgramma[Handeling],$C17)</f>
        <v>203</v>
      </c>
      <c r="E17" s="448">
        <f>SUMIFS(BasisProgramma[204],BasisProgramma[Element],$B17,BasisProgramma[Handeling],$C17)</f>
        <v>152</v>
      </c>
      <c r="F17" s="448">
        <f>SUMIFS([1]!BasisProgramma[156],[1]!BasisProgramma[Element],$B17,[1]!BasisProgramma[Handeling],$C17)</f>
        <v>104</v>
      </c>
      <c r="G17" s="448">
        <f>SUMIFS([1]!BasisProgramma[104],[1]!BasisProgramma[Element],$B17,[1]!BasisProgramma[Handeling],$C17)</f>
        <v>98</v>
      </c>
      <c r="H17" s="448">
        <f>SUMIFS([1]!BasisProgramma[52],[1]!BasisProgramma[Element],$B17,[1]!BasisProgramma[Handeling],$C17)</f>
        <v>46</v>
      </c>
      <c r="I17" s="461">
        <f>SUMIFS([1]!BasisProgramma[4],[1]!BasisProgramma[Element],$B17,[1]!BasisProgramma[Handeling],$C17)</f>
        <v>0</v>
      </c>
      <c r="J17" s="449"/>
    </row>
    <row r="18" spans="2:10" x14ac:dyDescent="0.2">
      <c r="B18" s="422" t="s">
        <v>434</v>
      </c>
      <c r="C18" s="79" t="s">
        <v>429</v>
      </c>
      <c r="D18" s="447">
        <f>SUMIFS(BasisProgramma[255],BasisProgramma[Element],$B18,BasisProgramma[Handeling],$C18)</f>
        <v>52</v>
      </c>
      <c r="E18" s="448">
        <f>SUMIFS(BasisProgramma[204],BasisProgramma[Element],$B18,BasisProgramma[Handeling],$C18)</f>
        <v>52</v>
      </c>
      <c r="F18" s="448">
        <f>SUMIFS([1]!BasisProgramma[156],[1]!BasisProgramma[Element],$B18,[1]!BasisProgramma[Handeling],$C18)</f>
        <v>52</v>
      </c>
      <c r="G18" s="448">
        <f>SUMIFS([1]!BasisProgramma[104],[1]!BasisProgramma[Element],$B18,[1]!BasisProgramma[Handeling],$C18)</f>
        <v>12</v>
      </c>
      <c r="H18" s="448">
        <f>SUMIFS([1]!BasisProgramma[52],[1]!BasisProgramma[Element],$B18,[1]!BasisProgramma[Handeling],$C18)</f>
        <v>12</v>
      </c>
      <c r="I18" s="461">
        <f>SUMIFS([1]!BasisProgramma[4],[1]!BasisProgramma[Element],$B18,[1]!BasisProgramma[Handeling],$C18)</f>
        <v>4</v>
      </c>
      <c r="J18" s="449"/>
    </row>
    <row r="19" spans="2:10" x14ac:dyDescent="0.2">
      <c r="B19" s="422" t="s">
        <v>474</v>
      </c>
      <c r="C19" s="79" t="s">
        <v>429</v>
      </c>
      <c r="D19" s="447">
        <f>SUMIFS(BasisProgramma[255],BasisProgramma[Element],$B19,BasisProgramma[Handeling],$C19)</f>
        <v>52</v>
      </c>
      <c r="E19" s="448">
        <f>SUMIFS(BasisProgramma[204],BasisProgramma[Element],$B19,BasisProgramma[Handeling],$C19)</f>
        <v>52</v>
      </c>
      <c r="F19" s="448">
        <f>SUMIFS([1]!BasisProgramma[156],[1]!BasisProgramma[Element],$B19,[1]!BasisProgramma[Handeling],$C19)</f>
        <v>52</v>
      </c>
      <c r="G19" s="448">
        <f>SUMIFS([1]!BasisProgramma[104],[1]!BasisProgramma[Element],$B19,[1]!BasisProgramma[Handeling],$C19)</f>
        <v>52</v>
      </c>
      <c r="H19" s="448">
        <f>SUMIFS([1]!BasisProgramma[52],[1]!BasisProgramma[Element],$B19,[1]!BasisProgramma[Handeling],$C19)</f>
        <v>52</v>
      </c>
      <c r="I19" s="461">
        <f>SUMIFS([1]!BasisProgramma[4],[1]!BasisProgramma[Element],$B19,[1]!BasisProgramma[Handeling],$C19)</f>
        <v>4</v>
      </c>
      <c r="J19" s="449"/>
    </row>
    <row r="20" spans="2:10" x14ac:dyDescent="0.2">
      <c r="B20" s="54" t="s">
        <v>721</v>
      </c>
      <c r="C20" s="79" t="s">
        <v>467</v>
      </c>
      <c r="D20" s="447">
        <f>SUMIFS(BasisProgramma[255],BasisProgramma[Element],$B20,BasisProgramma[Handeling],$C20)</f>
        <v>255</v>
      </c>
      <c r="E20" s="448">
        <f>SUMIFS(BasisProgramma[204],BasisProgramma[Element],$B20,BasisProgramma[Handeling],$C20)</f>
        <v>204</v>
      </c>
      <c r="F20" s="448">
        <f>SUMIFS([1]!BasisProgramma[156],[1]!BasisProgramma[Element],$B20,[1]!BasisProgramma[Handeling],$C20)</f>
        <v>156</v>
      </c>
      <c r="G20" s="448">
        <f>SUMIFS([1]!BasisProgramma[104],[1]!BasisProgramma[Element],$B20,[1]!BasisProgramma[Handeling],$C20)</f>
        <v>104</v>
      </c>
      <c r="H20" s="448">
        <f>SUMIFS([1]!BasisProgramma[52],[1]!BasisProgramma[Element],$B20,[1]!BasisProgramma[Handeling],$C20)</f>
        <v>52</v>
      </c>
      <c r="I20" s="461">
        <f>SUMIFS([1]!BasisProgramma[4],[1]!BasisProgramma[Element],$B20,[1]!BasisProgramma[Handeling],$C20)</f>
        <v>4</v>
      </c>
      <c r="J20" s="449"/>
    </row>
    <row r="21" spans="2:10" x14ac:dyDescent="0.2">
      <c r="B21" s="54" t="s">
        <v>721</v>
      </c>
      <c r="C21" s="79" t="s">
        <v>452</v>
      </c>
      <c r="D21" s="447">
        <f>SUMIFS(BasisProgramma[255],BasisProgramma[Element],$B21,BasisProgramma[Handeling],$C21)</f>
        <v>255</v>
      </c>
      <c r="E21" s="448">
        <f>SUMIFS(BasisProgramma[204],BasisProgramma[Element],$B21,BasisProgramma[Handeling],$C21)</f>
        <v>204</v>
      </c>
      <c r="F21" s="448">
        <f>SUMIFS([1]!BasisProgramma[156],[1]!BasisProgramma[Element],$B21,[1]!BasisProgramma[Handeling],$C21)</f>
        <v>156</v>
      </c>
      <c r="G21" s="448">
        <f>SUMIFS([1]!BasisProgramma[104],[1]!BasisProgramma[Element],$B21,[1]!BasisProgramma[Handeling],$C21)</f>
        <v>104</v>
      </c>
      <c r="H21" s="448">
        <f>SUMIFS([1]!BasisProgramma[52],[1]!BasisProgramma[Element],$B21,[1]!BasisProgramma[Handeling],$C21)</f>
        <v>52</v>
      </c>
      <c r="I21" s="461">
        <f>SUMIFS([1]!BasisProgramma[4],[1]!BasisProgramma[Element],$B21,[1]!BasisProgramma[Handeling],$C21)</f>
        <v>4</v>
      </c>
      <c r="J21" s="449"/>
    </row>
    <row r="22" spans="2:10" x14ac:dyDescent="0.2">
      <c r="B22" s="422" t="s">
        <v>436</v>
      </c>
      <c r="C22" s="79" t="s">
        <v>429</v>
      </c>
      <c r="D22" s="447">
        <f>SUMIFS(BasisProgramma[255],BasisProgramma[Element],$B22,BasisProgramma[Handeling],$C22)</f>
        <v>52</v>
      </c>
      <c r="E22" s="448">
        <f>SUMIFS(BasisProgramma[204],BasisProgramma[Element],$B22,BasisProgramma[Handeling],$C22)</f>
        <v>52</v>
      </c>
      <c r="F22" s="448">
        <f>SUMIFS([1]!BasisProgramma[156],[1]!BasisProgramma[Element],$B22,[1]!BasisProgramma[Handeling],$C22)</f>
        <v>52</v>
      </c>
      <c r="G22" s="448">
        <f>SUMIFS([1]!BasisProgramma[104],[1]!BasisProgramma[Element],$B22,[1]!BasisProgramma[Handeling],$C22)</f>
        <v>52</v>
      </c>
      <c r="H22" s="448">
        <f>SUMIFS([1]!BasisProgramma[52],[1]!BasisProgramma[Element],$B22,[1]!BasisProgramma[Handeling],$C22)</f>
        <v>52</v>
      </c>
      <c r="I22" s="461">
        <f>SUMIFS([1]!BasisProgramma[4],[1]!BasisProgramma[Element],$B22,[1]!BasisProgramma[Handeling],$C22)</f>
        <v>4</v>
      </c>
      <c r="J22" s="449"/>
    </row>
    <row r="23" spans="2:10" x14ac:dyDescent="0.2">
      <c r="B23" s="422" t="s">
        <v>437</v>
      </c>
      <c r="C23" s="8" t="s">
        <v>738</v>
      </c>
      <c r="D23" s="447">
        <f>SUMIFS(BasisProgramma[255],BasisProgramma[Element],$B23,BasisProgramma[Handeling],$C23)</f>
        <v>251</v>
      </c>
      <c r="E23" s="448">
        <f>SUMIFS(BasisProgramma[204],BasisProgramma[Element],$B23,BasisProgramma[Handeling],$C23)</f>
        <v>200</v>
      </c>
      <c r="F23" s="448">
        <f>SUMIFS([1]!BasisProgramma[156],[1]!BasisProgramma[Element],$B23,[1]!BasisProgramma[Handeling],$C23)</f>
        <v>152</v>
      </c>
      <c r="G23" s="448">
        <f>SUMIFS([1]!BasisProgramma[104],[1]!BasisProgramma[Element],$B23,[1]!BasisProgramma[Handeling],$C23)</f>
        <v>100</v>
      </c>
      <c r="H23" s="448">
        <f>SUMIFS([1]!BasisProgramma[52],[1]!BasisProgramma[Element],$B23,[1]!BasisProgramma[Handeling],$C23)</f>
        <v>50</v>
      </c>
      <c r="I23" s="461">
        <f>SUMIFS([1]!BasisProgramma[4],[1]!BasisProgramma[Element],$B23,[1]!BasisProgramma[Handeling],$C23)</f>
        <v>0</v>
      </c>
      <c r="J23" s="449"/>
    </row>
    <row r="24" spans="2:10" x14ac:dyDescent="0.2">
      <c r="B24" s="422" t="s">
        <v>437</v>
      </c>
      <c r="C24" s="8" t="s">
        <v>739</v>
      </c>
      <c r="D24" s="447">
        <f>SUMIFS(BasisProgramma[255],BasisProgramma[Element],$B24,BasisProgramma[Handeling],$C24)</f>
        <v>40</v>
      </c>
      <c r="E24" s="448">
        <f>SUMIFS(BasisProgramma[204],BasisProgramma[Element],$B24,BasisProgramma[Handeling],$C24)</f>
        <v>40</v>
      </c>
      <c r="F24" s="448">
        <f>SUMIFS([1]!BasisProgramma[156],[1]!BasisProgramma[Element],$B24,[1]!BasisProgramma[Handeling],$C24)</f>
        <v>40</v>
      </c>
      <c r="G24" s="448">
        <f>SUMIFS([1]!BasisProgramma[104],[1]!BasisProgramma[Element],$B24,[1]!BasisProgramma[Handeling],$C24)</f>
        <v>40</v>
      </c>
      <c r="H24" s="448">
        <f>SUMIFS([1]!BasisProgramma[52],[1]!BasisProgramma[Element],$B24,[1]!BasisProgramma[Handeling],$C24)</f>
        <v>40</v>
      </c>
      <c r="I24" s="461">
        <f>SUMIFS([1]!BasisProgramma[4],[1]!BasisProgramma[Element],$B24,[1]!BasisProgramma[Handeling],$C24)</f>
        <v>0</v>
      </c>
      <c r="J24" s="449"/>
    </row>
    <row r="25" spans="2:10" x14ac:dyDescent="0.2">
      <c r="B25" s="422" t="s">
        <v>438</v>
      </c>
      <c r="C25" s="79" t="s">
        <v>439</v>
      </c>
      <c r="D25" s="447">
        <f>SUMIFS(BasisProgramma[255],BasisProgramma[Element],$B25,BasisProgramma[Handeling],$C25)</f>
        <v>8</v>
      </c>
      <c r="E25" s="448">
        <f>SUMIFS(BasisProgramma[204],BasisProgramma[Element],$B25,BasisProgramma[Handeling],$C25)</f>
        <v>8</v>
      </c>
      <c r="F25" s="448">
        <f>SUMIFS([1]!BasisProgramma[156],[1]!BasisProgramma[Element],$B25,[1]!BasisProgramma[Handeling],$C25)</f>
        <v>8</v>
      </c>
      <c r="G25" s="448">
        <f>SUMIFS([1]!BasisProgramma[104],[1]!BasisProgramma[Element],$B25,[1]!BasisProgramma[Handeling],$C25)</f>
        <v>8</v>
      </c>
      <c r="H25" s="448">
        <f>SUMIFS([1]!BasisProgramma[52],[1]!BasisProgramma[Element],$B25,[1]!BasisProgramma[Handeling],$C25)</f>
        <v>4</v>
      </c>
      <c r="I25" s="461">
        <f>SUMIFS([1]!BasisProgramma[4],[1]!BasisProgramma[Element],$B25,[1]!BasisProgramma[Handeling],$C25)</f>
        <v>0</v>
      </c>
      <c r="J25" s="449"/>
    </row>
    <row r="26" spans="2:10" x14ac:dyDescent="0.2">
      <c r="B26" s="422" t="s">
        <v>437</v>
      </c>
      <c r="C26" s="79" t="s">
        <v>429</v>
      </c>
      <c r="D26" s="447">
        <f>SUMIFS(BasisProgramma[255],BasisProgramma[Element],$B26,BasisProgramma[Handeling],$C26)</f>
        <v>4</v>
      </c>
      <c r="E26" s="448">
        <f>SUMIFS(BasisProgramma[204],BasisProgramma[Element],$B26,BasisProgramma[Handeling],$C26)</f>
        <v>4</v>
      </c>
      <c r="F26" s="448">
        <f>SUMIFS([1]!BasisProgramma[156],[1]!BasisProgramma[Element],$B26,[1]!BasisProgramma[Handeling],$C26)</f>
        <v>4</v>
      </c>
      <c r="G26" s="448">
        <f>SUMIFS([1]!BasisProgramma[104],[1]!BasisProgramma[Element],$B26,[1]!BasisProgramma[Handeling],$C26)</f>
        <v>4</v>
      </c>
      <c r="H26" s="448">
        <f>SUMIFS([1]!BasisProgramma[52],[1]!BasisProgramma[Element],$B26,[1]!BasisProgramma[Handeling],$C26)</f>
        <v>2</v>
      </c>
      <c r="I26" s="461">
        <f>SUMIFS([1]!BasisProgramma[4],[1]!BasisProgramma[Element],$B26,[1]!BasisProgramma[Handeling],$C26)</f>
        <v>4</v>
      </c>
      <c r="J26" s="449"/>
    </row>
    <row r="27" spans="2:10" x14ac:dyDescent="0.2">
      <c r="B27" s="422" t="s">
        <v>440</v>
      </c>
      <c r="C27" s="79" t="s">
        <v>740</v>
      </c>
      <c r="D27" s="447">
        <f>SUMIFS(BasisProgramma[255],BasisProgramma[Element],$B27,BasisProgramma[Handeling],$C27)</f>
        <v>251</v>
      </c>
      <c r="E27" s="448">
        <f>SUMIFS(BasisProgramma[204],BasisProgramma[Element],$B27,BasisProgramma[Handeling],$C27)</f>
        <v>200</v>
      </c>
      <c r="F27" s="448">
        <f>SUMIFS([1]!BasisProgramma[156],[1]!BasisProgramma[Element],$B27,[1]!BasisProgramma[Handeling],$C27)</f>
        <v>152</v>
      </c>
      <c r="G27" s="448">
        <f>SUMIFS([1]!BasisProgramma[104],[1]!BasisProgramma[Element],$B27,[1]!BasisProgramma[Handeling],$C27)</f>
        <v>100</v>
      </c>
      <c r="H27" s="448">
        <f>SUMIFS([1]!BasisProgramma[52],[1]!BasisProgramma[Element],$B27,[1]!BasisProgramma[Handeling],$C27)</f>
        <v>50</v>
      </c>
      <c r="I27" s="461">
        <f>SUMIFS([1]!BasisProgramma[4],[1]!BasisProgramma[Element],$B27,[1]!BasisProgramma[Handeling],$C27)</f>
        <v>0</v>
      </c>
      <c r="J27" s="449"/>
    </row>
    <row r="28" spans="2:10" x14ac:dyDescent="0.2">
      <c r="B28" s="422" t="s">
        <v>440</v>
      </c>
      <c r="C28" s="79" t="s">
        <v>429</v>
      </c>
      <c r="D28" s="447">
        <f>SUMIFS(BasisProgramma[255],BasisProgramma[Element],$B28,BasisProgramma[Handeling],$C28)</f>
        <v>4</v>
      </c>
      <c r="E28" s="448">
        <f>SUMIFS(BasisProgramma[204],BasisProgramma[Element],$B28,BasisProgramma[Handeling],$C28)</f>
        <v>4</v>
      </c>
      <c r="F28" s="448">
        <f>SUMIFS([1]!BasisProgramma[156],[1]!BasisProgramma[Element],$B28,[1]!BasisProgramma[Handeling],$C28)</f>
        <v>4</v>
      </c>
      <c r="G28" s="448">
        <f>SUMIFS([1]!BasisProgramma[104],[1]!BasisProgramma[Element],$B28,[1]!BasisProgramma[Handeling],$C28)</f>
        <v>4</v>
      </c>
      <c r="H28" s="448">
        <f>SUMIFS([1]!BasisProgramma[52],[1]!BasisProgramma[Element],$B28,[1]!BasisProgramma[Handeling],$C28)</f>
        <v>2</v>
      </c>
      <c r="I28" s="461">
        <f>SUMIFS([1]!BasisProgramma[4],[1]!BasisProgramma[Element],$B28,[1]!BasisProgramma[Handeling],$C28)</f>
        <v>4</v>
      </c>
      <c r="J28" s="449"/>
    </row>
    <row r="29" spans="2:10" x14ac:dyDescent="0.2">
      <c r="B29" s="422" t="s">
        <v>476</v>
      </c>
      <c r="C29" s="79" t="s">
        <v>441</v>
      </c>
      <c r="D29" s="447">
        <f>SUMIFS(BasisProgramma[255],BasisProgramma[Element],$B29,BasisProgramma[Handeling],$C29)</f>
        <v>52</v>
      </c>
      <c r="E29" s="448">
        <f>SUMIFS(BasisProgramma[204],BasisProgramma[Element],$B29,BasisProgramma[Handeling],$C29)</f>
        <v>52</v>
      </c>
      <c r="F29" s="448">
        <f>SUMIFS([1]!BasisProgramma[156],[1]!BasisProgramma[Element],$B29,[1]!BasisProgramma[Handeling],$C29)</f>
        <v>52</v>
      </c>
      <c r="G29" s="448">
        <f>SUMIFS([1]!BasisProgramma[104],[1]!BasisProgramma[Element],$B29,[1]!BasisProgramma[Handeling],$C29)</f>
        <v>12</v>
      </c>
      <c r="H29" s="448">
        <f>SUMIFS([1]!BasisProgramma[52],[1]!BasisProgramma[Element],$B29,[1]!BasisProgramma[Handeling],$C29)</f>
        <v>12</v>
      </c>
      <c r="I29" s="461">
        <f>SUMIFS([1]!BasisProgramma[4],[1]!BasisProgramma[Element],$B29,[1]!BasisProgramma[Handeling],$C29)</f>
        <v>4</v>
      </c>
      <c r="J29" s="449"/>
    </row>
    <row r="30" spans="2:10" x14ac:dyDescent="0.2">
      <c r="B30" s="422" t="s">
        <v>442</v>
      </c>
      <c r="C30" s="79" t="s">
        <v>443</v>
      </c>
      <c r="D30" s="447">
        <f>SUMIFS(BasisProgramma[255],BasisProgramma[Element],$B30,BasisProgramma[Handeling],$C30)</f>
        <v>2</v>
      </c>
      <c r="E30" s="448">
        <f>SUMIFS(BasisProgramma[204],BasisProgramma[Element],$B30,BasisProgramma[Handeling],$C30)</f>
        <v>2</v>
      </c>
      <c r="F30" s="448">
        <f>SUMIFS([1]!BasisProgramma[156],[1]!BasisProgramma[Element],$B30,[1]!BasisProgramma[Handeling],$C30)</f>
        <v>2</v>
      </c>
      <c r="G30" s="448">
        <f>SUMIFS([1]!BasisProgramma[104],[1]!BasisProgramma[Element],$B30,[1]!BasisProgramma[Handeling],$C30)</f>
        <v>2</v>
      </c>
      <c r="H30" s="448">
        <f>SUMIFS([1]!BasisProgramma[52],[1]!BasisProgramma[Element],$B30,[1]!BasisProgramma[Handeling],$C30)</f>
        <v>2</v>
      </c>
      <c r="I30" s="461">
        <f>SUMIFS([1]!BasisProgramma[4],[1]!BasisProgramma[Element],$B30,[1]!BasisProgramma[Handeling],$C30)</f>
        <v>2</v>
      </c>
      <c r="J30" s="449"/>
    </row>
    <row r="31" spans="2:10" x14ac:dyDescent="0.2">
      <c r="B31" s="422" t="s">
        <v>500</v>
      </c>
      <c r="C31" s="79" t="s">
        <v>428</v>
      </c>
      <c r="D31" s="447">
        <f>SUMIFS(BasisProgramma[255],BasisProgramma[Element],$B31,BasisProgramma[Handeling],$C31)</f>
        <v>243</v>
      </c>
      <c r="E31" s="448">
        <f>SUMIFS(BasisProgramma[204],BasisProgramma[Element],$B31,BasisProgramma[Handeling],$C31)</f>
        <v>192</v>
      </c>
      <c r="F31" s="448">
        <f>SUMIFS([1]!BasisProgramma[156],[1]!BasisProgramma[Element],$B31,[1]!BasisProgramma[Handeling],$C31)</f>
        <v>144</v>
      </c>
      <c r="G31" s="448">
        <f>SUMIFS([1]!BasisProgramma[104],[1]!BasisProgramma[Element],$B31,[1]!BasisProgramma[Handeling],$C31)</f>
        <v>92</v>
      </c>
      <c r="H31" s="448">
        <f>SUMIFS([1]!BasisProgramma[52],[1]!BasisProgramma[Element],$B31,[1]!BasisProgramma[Handeling],$C31)</f>
        <v>46</v>
      </c>
      <c r="I31" s="461">
        <f>SUMIFS([1]!BasisProgramma[4],[1]!BasisProgramma[Element],$B31,[1]!BasisProgramma[Handeling],$C31)</f>
        <v>0</v>
      </c>
      <c r="J31" s="449"/>
    </row>
    <row r="32" spans="2:10" x14ac:dyDescent="0.2">
      <c r="B32" s="422" t="s">
        <v>500</v>
      </c>
      <c r="C32" s="79" t="s">
        <v>452</v>
      </c>
      <c r="D32" s="447">
        <f>SUMIFS(BasisProgramma[255],BasisProgramma[Element],$B32,BasisProgramma[Handeling],$C32)</f>
        <v>12</v>
      </c>
      <c r="E32" s="448">
        <f>SUMIFS(BasisProgramma[204],BasisProgramma[Element],$B32,BasisProgramma[Handeling],$C32)</f>
        <v>12</v>
      </c>
      <c r="F32" s="448">
        <f>SUMIFS([1]!BasisProgramma[156],[1]!BasisProgramma[Element],$B32,[1]!BasisProgramma[Handeling],$C32)</f>
        <v>12</v>
      </c>
      <c r="G32" s="448">
        <f>SUMIFS([1]!BasisProgramma[104],[1]!BasisProgramma[Element],$B32,[1]!BasisProgramma[Handeling],$C32)</f>
        <v>12</v>
      </c>
      <c r="H32" s="448">
        <f>SUMIFS([1]!BasisProgramma[52],[1]!BasisProgramma[Element],$B32,[1]!BasisProgramma[Handeling],$C32)</f>
        <v>6</v>
      </c>
      <c r="I32" s="461">
        <f>SUMIFS([1]!BasisProgramma[4],[1]!BasisProgramma[Element],$B32,[1]!BasisProgramma[Handeling],$C32)</f>
        <v>4</v>
      </c>
      <c r="J32" s="449"/>
    </row>
    <row r="33" spans="2:10" x14ac:dyDescent="0.2">
      <c r="B33" s="422" t="s">
        <v>477</v>
      </c>
      <c r="C33" s="79" t="s">
        <v>441</v>
      </c>
      <c r="D33" s="447">
        <f>SUMIFS(BasisProgramma[255],BasisProgramma[Element],$B33,BasisProgramma[Handeling],$C33)</f>
        <v>255</v>
      </c>
      <c r="E33" s="448">
        <f>SUMIFS(BasisProgramma[204],BasisProgramma[Element],$B33,BasisProgramma[Handeling],$C33)</f>
        <v>204</v>
      </c>
      <c r="F33" s="448">
        <f>SUMIFS([1]!BasisProgramma[156],[1]!BasisProgramma[Element],$B33,[1]!BasisProgramma[Handeling],$C33)</f>
        <v>156</v>
      </c>
      <c r="G33" s="448">
        <f>SUMIFS([1]!BasisProgramma[104],[1]!BasisProgramma[Element],$B33,[1]!BasisProgramma[Handeling],$C33)</f>
        <v>104</v>
      </c>
      <c r="H33" s="448">
        <f>SUMIFS([1]!BasisProgramma[52],[1]!BasisProgramma[Element],$B33,[1]!BasisProgramma[Handeling],$C33)</f>
        <v>52</v>
      </c>
      <c r="I33" s="461">
        <f>SUMIFS([1]!BasisProgramma[4],[1]!BasisProgramma[Element],$B33,[1]!BasisProgramma[Handeling],$C33)</f>
        <v>4</v>
      </c>
      <c r="J33" s="449"/>
    </row>
    <row r="34" spans="2:10" x14ac:dyDescent="0.2">
      <c r="B34" s="422" t="s">
        <v>501</v>
      </c>
      <c r="C34" s="79" t="s">
        <v>441</v>
      </c>
      <c r="D34" s="447">
        <f>SUMIFS(BasisProgramma[255],BasisProgramma[Element],$B34,BasisProgramma[Handeling],$C34)</f>
        <v>52</v>
      </c>
      <c r="E34" s="448">
        <f>SUMIFS(BasisProgramma[204],BasisProgramma[Element],$B34,BasisProgramma[Handeling],$C34)</f>
        <v>52</v>
      </c>
      <c r="F34" s="448">
        <f>SUMIFS([1]!BasisProgramma[156],[1]!BasisProgramma[Element],$B34,[1]!BasisProgramma[Handeling],$C34)</f>
        <v>52</v>
      </c>
      <c r="G34" s="448">
        <f>SUMIFS([1]!BasisProgramma[104],[1]!BasisProgramma[Element],$B34,[1]!BasisProgramma[Handeling],$C34)</f>
        <v>52</v>
      </c>
      <c r="H34" s="448">
        <f>SUMIFS([1]!BasisProgramma[52],[1]!BasisProgramma[Element],$B34,[1]!BasisProgramma[Handeling],$C34)</f>
        <v>52</v>
      </c>
      <c r="I34" s="461">
        <f>SUMIFS([1]!BasisProgramma[4],[1]!BasisProgramma[Element],$B34,[1]!BasisProgramma[Handeling],$C34)</f>
        <v>4</v>
      </c>
      <c r="J34" s="449"/>
    </row>
    <row r="35" spans="2:10" x14ac:dyDescent="0.2">
      <c r="B35" s="422" t="s">
        <v>487</v>
      </c>
      <c r="C35" s="79" t="s">
        <v>428</v>
      </c>
      <c r="D35" s="447">
        <f>SUMIFS(BasisProgramma[255],BasisProgramma[Element],$B35,BasisProgramma[Handeling],$C35)</f>
        <v>255</v>
      </c>
      <c r="E35" s="448">
        <f>SUMIFS(BasisProgramma[204],BasisProgramma[Element],$B35,BasisProgramma[Handeling],$C35)</f>
        <v>204</v>
      </c>
      <c r="F35" s="448">
        <f>SUMIFS([1]!BasisProgramma[156],[1]!BasisProgramma[Element],$B35,[1]!BasisProgramma[Handeling],$C35)</f>
        <v>156</v>
      </c>
      <c r="G35" s="448">
        <f>SUMIFS([1]!BasisProgramma[104],[1]!BasisProgramma[Element],$B35,[1]!BasisProgramma[Handeling],$C35)</f>
        <v>104</v>
      </c>
      <c r="H35" s="448">
        <f>SUMIFS([1]!BasisProgramma[52],[1]!BasisProgramma[Element],$B35,[1]!BasisProgramma[Handeling],$C35)</f>
        <v>52</v>
      </c>
      <c r="I35" s="461">
        <f>SUMIFS([1]!BasisProgramma[4],[1]!BasisProgramma[Element],$B35,[1]!BasisProgramma[Handeling],$C35)</f>
        <v>4</v>
      </c>
      <c r="J35" s="449"/>
    </row>
    <row r="36" spans="2:10" x14ac:dyDescent="0.2">
      <c r="B36" s="422" t="s">
        <v>444</v>
      </c>
      <c r="C36" s="79" t="s">
        <v>435</v>
      </c>
      <c r="D36" s="447">
        <f>SUMIFS(BasisProgramma[255],BasisProgramma[Element],$B36,BasisProgramma[Handeling],$C36)</f>
        <v>255</v>
      </c>
      <c r="E36" s="448">
        <f>SUMIFS(BasisProgramma[204],BasisProgramma[Element],$B36,BasisProgramma[Handeling],$C36)</f>
        <v>204</v>
      </c>
      <c r="F36" s="448">
        <f>SUMIFS([1]!BasisProgramma[156],[1]!BasisProgramma[Element],$B36,[1]!BasisProgramma[Handeling],$C36)</f>
        <v>156</v>
      </c>
      <c r="G36" s="448">
        <f>SUMIFS([1]!BasisProgramma[104],[1]!BasisProgramma[Element],$B36,[1]!BasisProgramma[Handeling],$C36)</f>
        <v>104</v>
      </c>
      <c r="H36" s="448">
        <f>SUMIFS([1]!BasisProgramma[52],[1]!BasisProgramma[Element],$B36,[1]!BasisProgramma[Handeling],$C36)</f>
        <v>52</v>
      </c>
      <c r="I36" s="461">
        <f>SUMIFS([1]!BasisProgramma[4],[1]!BasisProgramma[Element],$B36,[1]!BasisProgramma[Handeling],$C36)</f>
        <v>4</v>
      </c>
      <c r="J36" s="449"/>
    </row>
    <row r="37" spans="2:10" x14ac:dyDescent="0.2">
      <c r="B37" s="422" t="s">
        <v>458</v>
      </c>
      <c r="C37" s="79" t="s">
        <v>441</v>
      </c>
      <c r="D37" s="447">
        <f>SUMIFS(BasisProgramma[255],BasisProgramma[Element],$B37,BasisProgramma[Handeling],$C37)</f>
        <v>255</v>
      </c>
      <c r="E37" s="448">
        <f>SUMIFS(BasisProgramma[204],BasisProgramma[Element],$B37,BasisProgramma[Handeling],$C37)</f>
        <v>204</v>
      </c>
      <c r="F37" s="448">
        <f>SUMIFS([1]!BasisProgramma[156],[1]!BasisProgramma[Element],$B37,[1]!BasisProgramma[Handeling],$C37)</f>
        <v>156</v>
      </c>
      <c r="G37" s="448">
        <f>SUMIFS([1]!BasisProgramma[104],[1]!BasisProgramma[Element],$B37,[1]!BasisProgramma[Handeling],$C37)</f>
        <v>104</v>
      </c>
      <c r="H37" s="448">
        <f>SUMIFS([1]!BasisProgramma[52],[1]!BasisProgramma[Element],$B37,[1]!BasisProgramma[Handeling],$C37)</f>
        <v>52</v>
      </c>
      <c r="I37" s="461">
        <f>SUMIFS([1]!BasisProgramma[4],[1]!BasisProgramma[Element],$B37,[1]!BasisProgramma[Handeling],$C37)</f>
        <v>4</v>
      </c>
      <c r="J37" s="449"/>
    </row>
    <row r="38" spans="2:10" x14ac:dyDescent="0.2">
      <c r="B38" s="422" t="s">
        <v>445</v>
      </c>
      <c r="C38" s="79" t="s">
        <v>446</v>
      </c>
      <c r="D38" s="447">
        <f>SUMIFS(BasisProgramma[255],BasisProgramma[Element],$B38,BasisProgramma[Handeling],$C38)</f>
        <v>255</v>
      </c>
      <c r="E38" s="448">
        <f>SUMIFS(BasisProgramma[204],BasisProgramma[Element],$B38,BasisProgramma[Handeling],$C38)</f>
        <v>204</v>
      </c>
      <c r="F38" s="448">
        <f>SUMIFS([1]!BasisProgramma[156],[1]!BasisProgramma[Element],$B38,[1]!BasisProgramma[Handeling],$C38)</f>
        <v>156</v>
      </c>
      <c r="G38" s="448">
        <f>SUMIFS([1]!BasisProgramma[104],[1]!BasisProgramma[Element],$B38,[1]!BasisProgramma[Handeling],$C38)</f>
        <v>104</v>
      </c>
      <c r="H38" s="448">
        <f>SUMIFS([1]!BasisProgramma[52],[1]!BasisProgramma[Element],$B38,[1]!BasisProgramma[Handeling],$C38)</f>
        <v>52</v>
      </c>
      <c r="I38" s="461">
        <f>SUMIFS([1]!BasisProgramma[4],[1]!BasisProgramma[Element],$B38,[1]!BasisProgramma[Handeling],$C38)</f>
        <v>4</v>
      </c>
      <c r="J38" s="449"/>
    </row>
    <row r="39" spans="2:10" x14ac:dyDescent="0.2">
      <c r="B39" s="422" t="s">
        <v>495</v>
      </c>
      <c r="C39" s="79" t="s">
        <v>496</v>
      </c>
      <c r="D39" s="447">
        <f>SUMIFS(BasisProgramma[255],BasisProgramma[Element],$B39,BasisProgramma[Handeling],$C39)</f>
        <v>203</v>
      </c>
      <c r="E39" s="448">
        <f>SUMIFS(BasisProgramma[204],BasisProgramma[Element],$B39,BasisProgramma[Handeling],$C39)</f>
        <v>152</v>
      </c>
      <c r="F39" s="448">
        <f>SUMIFS([1]!BasisProgramma[156],[1]!BasisProgramma[Element],$B39,[1]!BasisProgramma[Handeling],$C39)</f>
        <v>104</v>
      </c>
      <c r="G39" s="448">
        <f>SUMIFS([1]!BasisProgramma[104],[1]!BasisProgramma[Element],$B39,[1]!BasisProgramma[Handeling],$C39)</f>
        <v>92</v>
      </c>
      <c r="H39" s="448">
        <f>SUMIFS([1]!BasisProgramma[52],[1]!BasisProgramma[Element],$B39,[1]!BasisProgramma[Handeling],$C39)</f>
        <v>40</v>
      </c>
      <c r="I39" s="461">
        <f>SUMIFS([1]!BasisProgramma[4],[1]!BasisProgramma[Element],$B39,[1]!BasisProgramma[Handeling],$C39)</f>
        <v>0</v>
      </c>
      <c r="J39" s="449"/>
    </row>
    <row r="40" spans="2:10" x14ac:dyDescent="0.2">
      <c r="B40" s="422" t="s">
        <v>495</v>
      </c>
      <c r="C40" s="79" t="s">
        <v>497</v>
      </c>
      <c r="D40" s="447">
        <f>SUMIFS(BasisProgramma[255],BasisProgramma[Element],$B40,BasisProgramma[Handeling],$C40)</f>
        <v>52</v>
      </c>
      <c r="E40" s="448">
        <f>SUMIFS(BasisProgramma[204],BasisProgramma[Element],$B40,BasisProgramma[Handeling],$C40)</f>
        <v>52</v>
      </c>
      <c r="F40" s="448">
        <f>SUMIFS([1]!BasisProgramma[156],[1]!BasisProgramma[Element],$B40,[1]!BasisProgramma[Handeling],$C40)</f>
        <v>52</v>
      </c>
      <c r="G40" s="448">
        <f>SUMIFS([1]!BasisProgramma[104],[1]!BasisProgramma[Element],$B40,[1]!BasisProgramma[Handeling],$C40)</f>
        <v>12</v>
      </c>
      <c r="H40" s="448">
        <f>SUMIFS([1]!BasisProgramma[52],[1]!BasisProgramma[Element],$B40,[1]!BasisProgramma[Handeling],$C40)</f>
        <v>12</v>
      </c>
      <c r="I40" s="461">
        <f>SUMIFS([1]!BasisProgramma[4],[1]!BasisProgramma[Element],$B40,[1]!BasisProgramma[Handeling],$C40)</f>
        <v>4</v>
      </c>
      <c r="J40" s="449"/>
    </row>
    <row r="41" spans="2:10" x14ac:dyDescent="0.2">
      <c r="B41" s="422" t="s">
        <v>447</v>
      </c>
      <c r="C41" s="79" t="s">
        <v>498</v>
      </c>
      <c r="D41" s="447">
        <f>SUMIFS(BasisProgramma[255],BasisProgramma[Element],$B41,BasisProgramma[Handeling],$C41)</f>
        <v>255</v>
      </c>
      <c r="E41" s="448">
        <f>SUMIFS(BasisProgramma[204],BasisProgramma[Element],$B41,BasisProgramma[Handeling],$C41)</f>
        <v>204</v>
      </c>
      <c r="F41" s="448">
        <f>SUMIFS([1]!BasisProgramma[156],[1]!BasisProgramma[Element],$B41,[1]!BasisProgramma[Handeling],$C41)</f>
        <v>156</v>
      </c>
      <c r="G41" s="448">
        <f>SUMIFS([1]!BasisProgramma[104],[1]!BasisProgramma[Element],$B41,[1]!BasisProgramma[Handeling],$C41)</f>
        <v>104</v>
      </c>
      <c r="H41" s="448">
        <f>SUMIFS([1]!BasisProgramma[52],[1]!BasisProgramma[Element],$B41,[1]!BasisProgramma[Handeling],$C41)</f>
        <v>52</v>
      </c>
      <c r="I41" s="461">
        <f>SUMIFS([1]!BasisProgramma[4],[1]!BasisProgramma[Element],$B41,[1]!BasisProgramma[Handeling],$C41)</f>
        <v>4</v>
      </c>
      <c r="J41" s="449"/>
    </row>
    <row r="42" spans="2:10" x14ac:dyDescent="0.2">
      <c r="B42" s="422" t="s">
        <v>448</v>
      </c>
      <c r="C42" s="79" t="s">
        <v>428</v>
      </c>
      <c r="D42" s="447">
        <f>SUMIFS(BasisProgramma[255],BasisProgramma[Element],$B42,BasisProgramma[Handeling],$C42)</f>
        <v>40</v>
      </c>
      <c r="E42" s="448">
        <f>SUMIFS(BasisProgramma[204],BasisProgramma[Element],$B42,BasisProgramma[Handeling],$C42)</f>
        <v>40</v>
      </c>
      <c r="F42" s="448">
        <f>SUMIFS([1]!BasisProgramma[156],[1]!BasisProgramma[Element],$B42,[1]!BasisProgramma[Handeling],$C42)</f>
        <v>40</v>
      </c>
      <c r="G42" s="448">
        <f>SUMIFS([1]!BasisProgramma[104],[1]!BasisProgramma[Element],$B42,[1]!BasisProgramma[Handeling],$C42)</f>
        <v>40</v>
      </c>
      <c r="H42" s="448">
        <f>SUMIFS([1]!BasisProgramma[52],[1]!BasisProgramma[Element],$B42,[1]!BasisProgramma[Handeling],$C42)</f>
        <v>40</v>
      </c>
      <c r="I42" s="461">
        <f>SUMIFS([1]!BasisProgramma[4],[1]!BasisProgramma[Element],$B42,[1]!BasisProgramma[Handeling],$C42)</f>
        <v>0</v>
      </c>
      <c r="J42" s="449"/>
    </row>
    <row r="43" spans="2:10" x14ac:dyDescent="0.2">
      <c r="B43" s="422" t="s">
        <v>448</v>
      </c>
      <c r="C43" s="79" t="s">
        <v>452</v>
      </c>
      <c r="D43" s="447">
        <f>SUMIFS(BasisProgramma[255],BasisProgramma[Element],$B43,BasisProgramma[Handeling],$C43)</f>
        <v>12</v>
      </c>
      <c r="E43" s="448">
        <f>SUMIFS(BasisProgramma[204],BasisProgramma[Element],$B43,BasisProgramma[Handeling],$C43)</f>
        <v>12</v>
      </c>
      <c r="F43" s="448">
        <f>SUMIFS([1]!BasisProgramma[156],[1]!BasisProgramma[Element],$B43,[1]!BasisProgramma[Handeling],$C43)</f>
        <v>12</v>
      </c>
      <c r="G43" s="448">
        <f>SUMIFS([1]!BasisProgramma[104],[1]!BasisProgramma[Element],$B43,[1]!BasisProgramma[Handeling],$C43)</f>
        <v>12</v>
      </c>
      <c r="H43" s="448">
        <f>SUMIFS([1]!BasisProgramma[52],[1]!BasisProgramma[Element],$B43,[1]!BasisProgramma[Handeling],$C43)</f>
        <v>12</v>
      </c>
      <c r="I43" s="461">
        <f>SUMIFS([1]!BasisProgramma[4],[1]!BasisProgramma[Element],$B43,[1]!BasisProgramma[Handeling],$C43)</f>
        <v>4</v>
      </c>
      <c r="J43" s="449"/>
    </row>
    <row r="44" spans="2:10" x14ac:dyDescent="0.2">
      <c r="B44" s="422" t="s">
        <v>450</v>
      </c>
      <c r="C44" s="79" t="s">
        <v>428</v>
      </c>
      <c r="D44" s="447">
        <f>SUMIFS(BasisProgramma[255],BasisProgramma[Element],$B44,BasisProgramma[Handeling],$C44)</f>
        <v>40</v>
      </c>
      <c r="E44" s="448">
        <f>SUMIFS(BasisProgramma[204],BasisProgramma[Element],$B44,BasisProgramma[Handeling],$C44)</f>
        <v>40</v>
      </c>
      <c r="F44" s="448">
        <f>SUMIFS([1]!BasisProgramma[156],[1]!BasisProgramma[Element],$B44,[1]!BasisProgramma[Handeling],$C44)</f>
        <v>40</v>
      </c>
      <c r="G44" s="448">
        <f>SUMIFS([1]!BasisProgramma[104],[1]!BasisProgramma[Element],$B44,[1]!BasisProgramma[Handeling],$C44)</f>
        <v>40</v>
      </c>
      <c r="H44" s="448">
        <f>SUMIFS([1]!BasisProgramma[52],[1]!BasisProgramma[Element],$B44,[1]!BasisProgramma[Handeling],$C44)</f>
        <v>40</v>
      </c>
      <c r="I44" s="461">
        <f>SUMIFS([1]!BasisProgramma[4],[1]!BasisProgramma[Element],$B44,[1]!BasisProgramma[Handeling],$C44)</f>
        <v>0</v>
      </c>
      <c r="J44" s="449"/>
    </row>
    <row r="45" spans="2:10" x14ac:dyDescent="0.2">
      <c r="B45" s="422" t="s">
        <v>450</v>
      </c>
      <c r="C45" s="79" t="s">
        <v>429</v>
      </c>
      <c r="D45" s="447">
        <f>SUMIFS(BasisProgramma[255],BasisProgramma[Element],$B45,BasisProgramma[Handeling],$C45)</f>
        <v>12</v>
      </c>
      <c r="E45" s="448">
        <f>SUMIFS(BasisProgramma[204],BasisProgramma[Element],$B45,BasisProgramma[Handeling],$C45)</f>
        <v>12</v>
      </c>
      <c r="F45" s="448">
        <f>SUMIFS([1]!BasisProgramma[156],[1]!BasisProgramma[Element],$B45,[1]!BasisProgramma[Handeling],$C45)</f>
        <v>12</v>
      </c>
      <c r="G45" s="448">
        <f>SUMIFS([1]!BasisProgramma[104],[1]!BasisProgramma[Element],$B45,[1]!BasisProgramma[Handeling],$C45)</f>
        <v>12</v>
      </c>
      <c r="H45" s="448">
        <f>SUMIFS([1]!BasisProgramma[52],[1]!BasisProgramma[Element],$B45,[1]!BasisProgramma[Handeling],$C45)</f>
        <v>12</v>
      </c>
      <c r="I45" s="461">
        <f>SUMIFS([1]!BasisProgramma[4],[1]!BasisProgramma[Element],$B45,[1]!BasisProgramma[Handeling],$C45)</f>
        <v>4</v>
      </c>
      <c r="J45" s="449"/>
    </row>
    <row r="46" spans="2:10" x14ac:dyDescent="0.2">
      <c r="B46" s="422" t="s">
        <v>744</v>
      </c>
      <c r="C46" s="78" t="s">
        <v>742</v>
      </c>
      <c r="D46" s="447">
        <f>SUMIFS(BasisProgramma[255],BasisProgramma[Element],$B46,BasisProgramma[Handeling],$C46)</f>
        <v>255</v>
      </c>
      <c r="E46" s="448">
        <f>SUMIFS(BasisProgramma[204],BasisProgramma[Element],$B46,BasisProgramma[Handeling],$C46)</f>
        <v>204</v>
      </c>
      <c r="F46" s="448">
        <f>SUMIFS([1]!BasisProgramma[156],[1]!BasisProgramma[Element],$B46,[1]!BasisProgramma[Handeling],$C46)</f>
        <v>156</v>
      </c>
      <c r="G46" s="448">
        <f>SUMIFS([1]!BasisProgramma[104],[1]!BasisProgramma[Element],$B46,[1]!BasisProgramma[Handeling],$C46)</f>
        <v>104</v>
      </c>
      <c r="H46" s="448">
        <f>SUMIFS([1]!BasisProgramma[52],[1]!BasisProgramma[Element],$B46,[1]!BasisProgramma[Handeling],$C46)</f>
        <v>52</v>
      </c>
      <c r="I46" s="461">
        <f>SUMIFS([1]!BasisProgramma[4],[1]!BasisProgramma[Element],$B46,[1]!BasisProgramma[Handeling],$C46)</f>
        <v>4</v>
      </c>
      <c r="J46" s="449"/>
    </row>
    <row r="47" spans="2:10" x14ac:dyDescent="0.2">
      <c r="B47" s="422" t="s">
        <v>744</v>
      </c>
      <c r="C47" s="78" t="s">
        <v>483</v>
      </c>
      <c r="D47" s="447">
        <f>SUMIFS(BasisProgramma[255],BasisProgramma[Element],$B47,BasisProgramma[Handeling],$C47)</f>
        <v>52</v>
      </c>
      <c r="E47" s="448">
        <f>SUMIFS(BasisProgramma[204],BasisProgramma[Element],$B47,BasisProgramma[Handeling],$C47)</f>
        <v>52</v>
      </c>
      <c r="F47" s="448">
        <f>SUMIFS([1]!BasisProgramma[156],[1]!BasisProgramma[Element],$B47,[1]!BasisProgramma[Handeling],$C47)</f>
        <v>52</v>
      </c>
      <c r="G47" s="448">
        <f>SUMIFS([1]!BasisProgramma[104],[1]!BasisProgramma[Element],$B47,[1]!BasisProgramma[Handeling],$C47)</f>
        <v>52</v>
      </c>
      <c r="H47" s="448">
        <f>SUMIFS([1]!BasisProgramma[52],[1]!BasisProgramma[Element],$B47,[1]!BasisProgramma[Handeling],$C47)</f>
        <v>52</v>
      </c>
      <c r="I47" s="461">
        <f>SUMIFS([1]!BasisProgramma[4],[1]!BasisProgramma[Element],$B47,[1]!BasisProgramma[Handeling],$C47)</f>
        <v>4</v>
      </c>
      <c r="J47" s="449"/>
    </row>
    <row r="48" spans="2:10" x14ac:dyDescent="0.2">
      <c r="B48" s="422" t="s">
        <v>744</v>
      </c>
      <c r="C48" s="78" t="s">
        <v>741</v>
      </c>
      <c r="D48" s="447">
        <f>SUMIFS(BasisProgramma[255],BasisProgramma[Element],$B48,BasisProgramma[Handeling],$C48)</f>
        <v>4</v>
      </c>
      <c r="E48" s="448">
        <f>SUMIFS(BasisProgramma[204],BasisProgramma[Element],$B48,BasisProgramma[Handeling],$C48)</f>
        <v>4</v>
      </c>
      <c r="F48" s="448">
        <f>SUMIFS([1]!BasisProgramma[156],[1]!BasisProgramma[Element],$B48,[1]!BasisProgramma[Handeling],$C48)</f>
        <v>4</v>
      </c>
      <c r="G48" s="448">
        <f>SUMIFS([1]!BasisProgramma[104],[1]!BasisProgramma[Element],$B48,[1]!BasisProgramma[Handeling],$C48)</f>
        <v>4</v>
      </c>
      <c r="H48" s="448">
        <f>SUMIFS([1]!BasisProgramma[52],[1]!BasisProgramma[Element],$B48,[1]!BasisProgramma[Handeling],$C48)</f>
        <v>4</v>
      </c>
      <c r="I48" s="461">
        <f>SUMIFS([1]!BasisProgramma[4],[1]!BasisProgramma[Element],$B48,[1]!BasisProgramma[Handeling],$C48)</f>
        <v>4</v>
      </c>
      <c r="J48" s="449"/>
    </row>
    <row r="49" spans="2:10" hidden="1" x14ac:dyDescent="0.2">
      <c r="B49" s="422" t="s">
        <v>746</v>
      </c>
      <c r="C49" s="79" t="s">
        <v>743</v>
      </c>
      <c r="D49" s="447">
        <f>SUMIFS(BasisProgramma[255],BasisProgramma[Element],$B49,BasisProgramma[Handeling],$C49)</f>
        <v>255</v>
      </c>
      <c r="E49" s="448">
        <f>SUMIFS(BasisProgramma[204],BasisProgramma[Element],$B49,BasisProgramma[Handeling],$C49)</f>
        <v>204</v>
      </c>
      <c r="F49" s="448">
        <f>SUMIFS([1]!BasisProgramma[156],[1]!BasisProgramma[Element],$B49,[1]!BasisProgramma[Handeling],$C49)</f>
        <v>156</v>
      </c>
      <c r="G49" s="448">
        <f>SUMIFS([1]!BasisProgramma[104],[1]!BasisProgramma[Element],$B49,[1]!BasisProgramma[Handeling],$C49)</f>
        <v>104</v>
      </c>
      <c r="H49" s="448">
        <f>SUMIFS([1]!BasisProgramma[52],[1]!BasisProgramma[Element],$B49,[1]!BasisProgramma[Handeling],$C49)</f>
        <v>52</v>
      </c>
      <c r="I49" s="461">
        <f>SUMIFS([1]!BasisProgramma[4],[1]!BasisProgramma[Element],$B49,[1]!BasisProgramma[Handeling],$C49)</f>
        <v>4</v>
      </c>
      <c r="J49" s="449"/>
    </row>
    <row r="50" spans="2:10" hidden="1" x14ac:dyDescent="0.2">
      <c r="B50" s="422" t="s">
        <v>746</v>
      </c>
      <c r="C50" s="79" t="s">
        <v>483</v>
      </c>
      <c r="D50" s="447">
        <f>SUMIFS(BasisProgramma[255],BasisProgramma[Element],$B50,BasisProgramma[Handeling],$C50)</f>
        <v>52</v>
      </c>
      <c r="E50" s="448">
        <f>SUMIFS(BasisProgramma[204],BasisProgramma[Element],$B50,BasisProgramma[Handeling],$C50)</f>
        <v>52</v>
      </c>
      <c r="F50" s="448">
        <f>SUMIFS([1]!BasisProgramma[156],[1]!BasisProgramma[Element],$B50,[1]!BasisProgramma[Handeling],$C50)</f>
        <v>52</v>
      </c>
      <c r="G50" s="448">
        <f>SUMIFS([1]!BasisProgramma[104],[1]!BasisProgramma[Element],$B50,[1]!BasisProgramma[Handeling],$C50)</f>
        <v>52</v>
      </c>
      <c r="H50" s="448">
        <f>SUMIFS([1]!BasisProgramma[52],[1]!BasisProgramma[Element],$B50,[1]!BasisProgramma[Handeling],$C50)</f>
        <v>52</v>
      </c>
      <c r="I50" s="461">
        <f>SUMIFS([1]!BasisProgramma[4],[1]!BasisProgramma[Element],$B50,[1]!BasisProgramma[Handeling],$C50)</f>
        <v>4</v>
      </c>
      <c r="J50" s="449"/>
    </row>
    <row r="51" spans="2:10" hidden="1" x14ac:dyDescent="0.2">
      <c r="B51" s="422" t="s">
        <v>747</v>
      </c>
      <c r="C51" s="79" t="s">
        <v>748</v>
      </c>
      <c r="D51" s="447">
        <f>SUMIFS(BasisProgramma[255],BasisProgramma[Element],$B51,BasisProgramma[Handeling],$C51)</f>
        <v>2</v>
      </c>
      <c r="E51" s="448">
        <f>SUMIFS(BasisProgramma[204],BasisProgramma[Element],$B51,BasisProgramma[Handeling],$C51)</f>
        <v>2</v>
      </c>
      <c r="F51" s="448">
        <f>SUMIFS([1]!BasisProgramma[156],[1]!BasisProgramma[Element],$B51,[1]!BasisProgramma[Handeling],$C51)</f>
        <v>2</v>
      </c>
      <c r="G51" s="448">
        <f>SUMIFS([1]!BasisProgramma[104],[1]!BasisProgramma[Element],$B51,[1]!BasisProgramma[Handeling],$C51)</f>
        <v>2</v>
      </c>
      <c r="H51" s="448">
        <f>SUMIFS([1]!BasisProgramma[52],[1]!BasisProgramma[Element],$B51,[1]!BasisProgramma[Handeling],$C51)</f>
        <v>2</v>
      </c>
      <c r="I51" s="461">
        <f>SUMIFS([1]!BasisProgramma[4],[1]!BasisProgramma[Element],$B51,[1]!BasisProgramma[Handeling],$C51)</f>
        <v>2</v>
      </c>
      <c r="J51" s="449"/>
    </row>
    <row r="52" spans="2:10" hidden="1" x14ac:dyDescent="0.2">
      <c r="B52" s="422" t="s">
        <v>745</v>
      </c>
      <c r="C52" s="79" t="s">
        <v>482</v>
      </c>
      <c r="D52" s="447">
        <f>SUMIFS(BasisProgramma[255],BasisProgramma[Element],$B52,BasisProgramma[Handeling],$C52)</f>
        <v>255</v>
      </c>
      <c r="E52" s="448">
        <f>SUMIFS(BasisProgramma[204],BasisProgramma[Element],$B52,BasisProgramma[Handeling],$C52)</f>
        <v>204</v>
      </c>
      <c r="F52" s="448">
        <f>SUMIFS([1]!BasisProgramma[156],[1]!BasisProgramma[Element],$B52,[1]!BasisProgramma[Handeling],$C52)</f>
        <v>156</v>
      </c>
      <c r="G52" s="448">
        <f>SUMIFS([1]!BasisProgramma[104],[1]!BasisProgramma[Element],$B52,[1]!BasisProgramma[Handeling],$C52)</f>
        <v>104</v>
      </c>
      <c r="H52" s="448">
        <f>SUMIFS([1]!BasisProgramma[52],[1]!BasisProgramma[Element],$B52,[1]!BasisProgramma[Handeling],$C52)</f>
        <v>52</v>
      </c>
      <c r="I52" s="461">
        <f>SUMIFS([1]!BasisProgramma[4],[1]!BasisProgramma[Element],$B52,[1]!BasisProgramma[Handeling],$C52)</f>
        <v>4</v>
      </c>
      <c r="J52" s="449"/>
    </row>
    <row r="53" spans="2:10" hidden="1" x14ac:dyDescent="0.2">
      <c r="B53" s="422" t="s">
        <v>745</v>
      </c>
      <c r="C53" s="79" t="s">
        <v>483</v>
      </c>
      <c r="D53" s="447">
        <f>SUMIFS(BasisProgramma[255],BasisProgramma[Element],$B53,BasisProgramma[Handeling],$C53)</f>
        <v>255</v>
      </c>
      <c r="E53" s="448">
        <f>SUMIFS(BasisProgramma[204],BasisProgramma[Element],$B53,BasisProgramma[Handeling],$C53)</f>
        <v>204</v>
      </c>
      <c r="F53" s="448">
        <f>SUMIFS([1]!BasisProgramma[156],[1]!BasisProgramma[Element],$B53,[1]!BasisProgramma[Handeling],$C53)</f>
        <v>156</v>
      </c>
      <c r="G53" s="448">
        <f>SUMIFS([1]!BasisProgramma[104],[1]!BasisProgramma[Element],$B53,[1]!BasisProgramma[Handeling],$C53)</f>
        <v>104</v>
      </c>
      <c r="H53" s="448">
        <f>SUMIFS([1]!BasisProgramma[52],[1]!BasisProgramma[Element],$B53,[1]!BasisProgramma[Handeling],$C53)</f>
        <v>52</v>
      </c>
      <c r="I53" s="461">
        <f>SUMIFS([1]!BasisProgramma[4],[1]!BasisProgramma[Element],$B53,[1]!BasisProgramma[Handeling],$C53)</f>
        <v>0</v>
      </c>
      <c r="J53" s="449"/>
    </row>
    <row r="54" spans="2:10" hidden="1" x14ac:dyDescent="0.2">
      <c r="B54" s="422" t="s">
        <v>745</v>
      </c>
      <c r="C54" s="79" t="s">
        <v>484</v>
      </c>
      <c r="D54" s="447">
        <f>SUMIFS(BasisProgramma[255],BasisProgramma[Element],$B54,BasisProgramma[Handeling],$C54)</f>
        <v>52</v>
      </c>
      <c r="E54" s="448">
        <f>SUMIFS(BasisProgramma[204],BasisProgramma[Element],$B54,BasisProgramma[Handeling],$C54)</f>
        <v>52</v>
      </c>
      <c r="F54" s="448">
        <f>SUMIFS([1]!BasisProgramma[156],[1]!BasisProgramma[Element],$B54,[1]!BasisProgramma[Handeling],$C54)</f>
        <v>52</v>
      </c>
      <c r="G54" s="448">
        <f>SUMIFS([1]!BasisProgramma[104],[1]!BasisProgramma[Element],$B54,[1]!BasisProgramma[Handeling],$C54)</f>
        <v>52</v>
      </c>
      <c r="H54" s="448">
        <f>SUMIFS([1]!BasisProgramma[52],[1]!BasisProgramma[Element],$B54,[1]!BasisProgramma[Handeling],$C54)</f>
        <v>52</v>
      </c>
      <c r="I54" s="461">
        <f>SUMIFS([1]!BasisProgramma[4],[1]!BasisProgramma[Element],$B54,[1]!BasisProgramma[Handeling],$C54)</f>
        <v>4</v>
      </c>
      <c r="J54" s="449"/>
    </row>
    <row r="55" spans="2:10" x14ac:dyDescent="0.2">
      <c r="B55" s="422" t="s">
        <v>686</v>
      </c>
      <c r="C55" s="79" t="s">
        <v>749</v>
      </c>
      <c r="D55" s="447">
        <f>SUMIFS(BasisProgramma[255],BasisProgramma[Element],$B55,BasisProgramma[Handeling],$C55)</f>
        <v>203</v>
      </c>
      <c r="E55" s="448">
        <f>SUMIFS(BasisProgramma[204],BasisProgramma[Element],$B55,BasisProgramma[Handeling],$C55)</f>
        <v>152</v>
      </c>
      <c r="F55" s="448">
        <f>SUMIFS([1]!BasisProgramma[156],[1]!BasisProgramma[Element],$B55,[1]!BasisProgramma[Handeling],$C55)</f>
        <v>104</v>
      </c>
      <c r="G55" s="448">
        <f>SUMIFS([1]!BasisProgramma[104],[1]!BasisProgramma[Element],$B55,[1]!BasisProgramma[Handeling],$C55)</f>
        <v>52</v>
      </c>
      <c r="H55" s="448">
        <f>SUMIFS([1]!BasisProgramma[52],[1]!BasisProgramma[Element],$B55,[1]!BasisProgramma[Handeling],$C55)</f>
        <v>0</v>
      </c>
      <c r="I55" s="461">
        <f>SUMIFS([1]!BasisProgramma[4],[1]!BasisProgramma[Element],$B55,[1]!BasisProgramma[Handeling],$C55)</f>
        <v>0</v>
      </c>
      <c r="J55" s="449"/>
    </row>
    <row r="56" spans="2:10" x14ac:dyDescent="0.2">
      <c r="B56" s="422" t="s">
        <v>686</v>
      </c>
      <c r="C56" s="79" t="s">
        <v>472</v>
      </c>
      <c r="D56" s="447">
        <f>SUMIFS(BasisProgramma[255],BasisProgramma[Element],$B56,BasisProgramma[Handeling],$C56)</f>
        <v>255</v>
      </c>
      <c r="E56" s="448">
        <f>SUMIFS(BasisProgramma[204],BasisProgramma[Element],$B56,BasisProgramma[Handeling],$C56)</f>
        <v>204</v>
      </c>
      <c r="F56" s="448">
        <f>SUMIFS([1]!BasisProgramma[156],[1]!BasisProgramma[Element],$B56,[1]!BasisProgramma[Handeling],$C56)</f>
        <v>156</v>
      </c>
      <c r="G56" s="448">
        <f>SUMIFS([1]!BasisProgramma[104],[1]!BasisProgramma[Element],$B56,[1]!BasisProgramma[Handeling],$C56)</f>
        <v>104</v>
      </c>
      <c r="H56" s="448">
        <f>SUMIFS([1]!BasisProgramma[52],[1]!BasisProgramma[Element],$B56,[1]!BasisProgramma[Handeling],$C56)</f>
        <v>52</v>
      </c>
      <c r="I56" s="461">
        <f>SUMIFS([1]!BasisProgramma[4],[1]!BasisProgramma[Element],$B56,[1]!BasisProgramma[Handeling],$C56)</f>
        <v>4</v>
      </c>
      <c r="J56" s="449"/>
    </row>
    <row r="57" spans="2:10" x14ac:dyDescent="0.2">
      <c r="B57" s="422" t="s">
        <v>686</v>
      </c>
      <c r="C57" s="79" t="s">
        <v>750</v>
      </c>
      <c r="D57" s="447">
        <f>SUMIFS(BasisProgramma[255],BasisProgramma[Element],$B57,BasisProgramma[Handeling],$C57)</f>
        <v>52</v>
      </c>
      <c r="E57" s="448">
        <f>SUMIFS(BasisProgramma[204],BasisProgramma[Element],$B57,BasisProgramma[Handeling],$C57)</f>
        <v>52</v>
      </c>
      <c r="F57" s="448">
        <f>SUMIFS([1]!BasisProgramma[156],[1]!BasisProgramma[Element],$B57,[1]!BasisProgramma[Handeling],$C57)</f>
        <v>52</v>
      </c>
      <c r="G57" s="448">
        <f>SUMIFS([1]!BasisProgramma[104],[1]!BasisProgramma[Element],$B57,[1]!BasisProgramma[Handeling],$C57)</f>
        <v>52</v>
      </c>
      <c r="H57" s="448">
        <f>SUMIFS([1]!BasisProgramma[52],[1]!BasisProgramma[Element],$B57,[1]!BasisProgramma[Handeling],$C57)</f>
        <v>52</v>
      </c>
      <c r="I57" s="461">
        <f>SUMIFS([1]!BasisProgramma[4],[1]!BasisProgramma[Element],$B57,[1]!BasisProgramma[Handeling],$C57)</f>
        <v>4</v>
      </c>
      <c r="J57" s="449"/>
    </row>
    <row r="58" spans="2:10" x14ac:dyDescent="0.2">
      <c r="B58" s="422" t="s">
        <v>729</v>
      </c>
      <c r="C58" s="79" t="s">
        <v>441</v>
      </c>
      <c r="D58" s="447">
        <f>SUMIFS(BasisProgramma[255],BasisProgramma[Element],$B58,BasisProgramma[Handeling],$C58)</f>
        <v>255</v>
      </c>
      <c r="E58" s="448">
        <f>SUMIFS(BasisProgramma[204],BasisProgramma[Element],$B58,BasisProgramma[Handeling],$C58)</f>
        <v>204</v>
      </c>
      <c r="F58" s="448">
        <f>SUMIFS([1]!BasisProgramma[156],[1]!BasisProgramma[Element],$B58,[1]!BasisProgramma[Handeling],$C58)</f>
        <v>156</v>
      </c>
      <c r="G58" s="448">
        <f>SUMIFS([1]!BasisProgramma[104],[1]!BasisProgramma[Element],$B58,[1]!BasisProgramma[Handeling],$C58)</f>
        <v>104</v>
      </c>
      <c r="H58" s="448">
        <f>SUMIFS([1]!BasisProgramma[52],[1]!BasisProgramma[Element],$B58,[1]!BasisProgramma[Handeling],$C58)</f>
        <v>52</v>
      </c>
      <c r="I58" s="461">
        <f>SUMIFS([1]!BasisProgramma[4],[1]!BasisProgramma[Element],$B58,[1]!BasisProgramma[Handeling],$C58)</f>
        <v>4</v>
      </c>
      <c r="J58" s="449"/>
    </row>
    <row r="59" spans="2:10" x14ac:dyDescent="0.2">
      <c r="B59" s="422" t="s">
        <v>729</v>
      </c>
      <c r="C59" s="79" t="s">
        <v>465</v>
      </c>
      <c r="D59" s="447">
        <f>SUMIFS(BasisProgramma[255],BasisProgramma[Element],$B59,BasisProgramma[Handeling],$C59)</f>
        <v>12</v>
      </c>
      <c r="E59" s="448">
        <f>SUMIFS(BasisProgramma[204],BasisProgramma[Element],$B59,BasisProgramma[Handeling],$C59)</f>
        <v>12</v>
      </c>
      <c r="F59" s="448">
        <f>SUMIFS([1]!BasisProgramma[156],[1]!BasisProgramma[Element],$B59,[1]!BasisProgramma[Handeling],$C59)</f>
        <v>12</v>
      </c>
      <c r="G59" s="448">
        <f>SUMIFS([1]!BasisProgramma[104],[1]!BasisProgramma[Element],$B59,[1]!BasisProgramma[Handeling],$C59)</f>
        <v>12</v>
      </c>
      <c r="H59" s="448">
        <f>SUMIFS([1]!BasisProgramma[52],[1]!BasisProgramma[Element],$B59,[1]!BasisProgramma[Handeling],$C59)</f>
        <v>6</v>
      </c>
      <c r="I59" s="461">
        <f>SUMIFS([1]!BasisProgramma[4],[1]!BasisProgramma[Element],$B59,[1]!BasisProgramma[Handeling],$C59)</f>
        <v>4</v>
      </c>
      <c r="J59" s="449"/>
    </row>
    <row r="60" spans="2:10" x14ac:dyDescent="0.2">
      <c r="B60" s="54" t="s">
        <v>723</v>
      </c>
      <c r="C60" s="79" t="s">
        <v>467</v>
      </c>
      <c r="D60" s="447">
        <f>SUMIFS(BasisProgramma[255],BasisProgramma[Element],$B60,BasisProgramma[Handeling],$C60)</f>
        <v>255</v>
      </c>
      <c r="E60" s="448">
        <f>SUMIFS(BasisProgramma[204],BasisProgramma[Element],$B60,BasisProgramma[Handeling],$C60)</f>
        <v>204</v>
      </c>
      <c r="F60" s="448">
        <f>SUMIFS([1]!BasisProgramma[156],[1]!BasisProgramma[Element],$B60,[1]!BasisProgramma[Handeling],$C60)</f>
        <v>156</v>
      </c>
      <c r="G60" s="448">
        <f>SUMIFS([1]!BasisProgramma[104],[1]!BasisProgramma[Element],$B60,[1]!BasisProgramma[Handeling],$C60)</f>
        <v>104</v>
      </c>
      <c r="H60" s="448">
        <f>SUMIFS([1]!BasisProgramma[52],[1]!BasisProgramma[Element],$B60,[1]!BasisProgramma[Handeling],$C60)</f>
        <v>52</v>
      </c>
      <c r="I60" s="461">
        <f>SUMIFS([1]!BasisProgramma[4],[1]!BasisProgramma[Element],$B60,[1]!BasisProgramma[Handeling],$C60)</f>
        <v>4</v>
      </c>
      <c r="J60" s="449"/>
    </row>
    <row r="61" spans="2:10" ht="12.75" thickBot="1" x14ac:dyDescent="0.25">
      <c r="B61" s="423" t="s">
        <v>723</v>
      </c>
      <c r="C61" s="424" t="s">
        <v>452</v>
      </c>
      <c r="D61" s="456">
        <f>SUMIFS(BasisProgramma[255],BasisProgramma[Element],$B61,BasisProgramma[Handeling],$C61)</f>
        <v>255</v>
      </c>
      <c r="E61" s="457">
        <f>SUMIFS(BasisProgramma[204],BasisProgramma[Element],$B61,BasisProgramma[Handeling],$C61)</f>
        <v>204</v>
      </c>
      <c r="F61" s="457">
        <f>SUMIFS([1]!BasisProgramma[156],[1]!BasisProgramma[Element],$B61,[1]!BasisProgramma[Handeling],$C61)</f>
        <v>156</v>
      </c>
      <c r="G61" s="457">
        <f>SUMIFS([1]!BasisProgramma[104],[1]!BasisProgramma[Element],$B61,[1]!BasisProgramma[Handeling],$C61)</f>
        <v>104</v>
      </c>
      <c r="H61" s="457">
        <f>SUMIFS([1]!BasisProgramma[52],[1]!BasisProgramma[Element],$B61,[1]!BasisProgramma[Handeling],$C61)</f>
        <v>52</v>
      </c>
      <c r="I61" s="463">
        <f>SUMIFS([1]!BasisProgramma[4],[1]!BasisProgramma[Element],$B61,[1]!BasisProgramma[Handeling],$C61)</f>
        <v>4</v>
      </c>
      <c r="J61" s="458"/>
    </row>
  </sheetData>
  <sheetProtection algorithmName="SHA-512" hashValue="7NOrv3z0nexUelm6gsbmSGBA0QL4gE23OiKL+LWKoE6oXDLefjB9DIiNMqzWNl1xcNT2K5d5QRxnLHDISoRy/w==" saltValue="mS2zZRsMLzxiw7bnsRb5ag==" spinCount="100000" sheet="1" objects="1" scenarios="1"/>
  <mergeCells count="1">
    <mergeCell ref="B1:J1"/>
  </mergeCells>
  <printOptions horizontalCentered="1" verticalCentered="1"/>
  <pageMargins left="0.70866141732283472" right="0.70866141732283472" top="0.74803149606299213" bottom="0.74803149606299213" header="0.31496062992125984" footer="0.31496062992125984"/>
  <pageSetup paperSize="9" scale="72" orientation="portrait" horizontalDpi="0" verticalDpi="0" r:id="rId1"/>
  <headerFooter>
    <oddHeader>&amp;L&amp;9&amp;K04-047Werkprogramma - Representatieve ruimte&amp;R&amp;G</oddHeader>
    <oddFooter>&amp;L&amp;9&amp;K04-049Offerteaanvraag EU Openbare aanbesteding Schoonmaakonderhoud&amp;C&amp;9&amp;K04-049 8 april 2022&amp;R&amp;9&amp;K04-049Blad &amp;P van &amp;N</oddFooter>
  </headerFooter>
  <ignoredErrors>
    <ignoredError sqref="D3:E3" numberStoredAsText="1"/>
    <ignoredError sqref="D4:E61" unlockedFormula="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B4DC9-5A95-4692-9987-554939BEEFCC}">
  <sheetPr codeName="Blad15">
    <tabColor theme="7" tint="0.59999389629810485"/>
    <pageSetUpPr fitToPage="1"/>
  </sheetPr>
  <dimension ref="B1:J46"/>
  <sheetViews>
    <sheetView showGridLines="0" showRowColHeaders="0" workbookViewId="0">
      <pane ySplit="3" topLeftCell="A18" activePane="bottomLeft" state="frozen"/>
      <selection activeCell="D28" sqref="D28"/>
      <selection pane="bottomLeft" activeCell="T59" sqref="T59"/>
    </sheetView>
  </sheetViews>
  <sheetFormatPr defaultColWidth="9.140625" defaultRowHeight="12" x14ac:dyDescent="0.2"/>
  <cols>
    <col min="1" max="1" width="9.140625" style="7"/>
    <col min="2" max="2" width="44.7109375" style="7" bestFit="1" customWidth="1"/>
    <col min="3" max="3" width="45.85546875" style="7" bestFit="1" customWidth="1"/>
    <col min="4" max="4" width="9.140625" style="84"/>
    <col min="5" max="5" width="0" style="84" hidden="1" customWidth="1"/>
    <col min="6" max="9" width="9.140625" style="84" hidden="1" customWidth="1"/>
    <col min="10" max="10" width="1.7109375" style="84" customWidth="1"/>
    <col min="11" max="16384" width="9.140625" style="7"/>
  </cols>
  <sheetData>
    <row r="1" spans="2:10" ht="25.5" customHeight="1" thickBot="1" x14ac:dyDescent="0.25">
      <c r="B1" s="603" t="s">
        <v>760</v>
      </c>
      <c r="C1" s="604"/>
      <c r="D1" s="604"/>
      <c r="E1" s="604"/>
      <c r="F1" s="604"/>
      <c r="G1" s="604"/>
      <c r="H1" s="604"/>
      <c r="I1" s="604"/>
      <c r="J1" s="605"/>
    </row>
    <row r="2" spans="2:10" ht="12.75" thickBot="1" x14ac:dyDescent="0.25"/>
    <row r="3" spans="2:10" ht="12.75" thickBot="1" x14ac:dyDescent="0.25">
      <c r="B3" s="412" t="s">
        <v>451</v>
      </c>
      <c r="C3" s="413" t="s">
        <v>388</v>
      </c>
      <c r="D3" s="414" t="s">
        <v>751</v>
      </c>
      <c r="E3" s="415" t="s">
        <v>752</v>
      </c>
      <c r="F3" s="416" t="s">
        <v>753</v>
      </c>
      <c r="G3" s="416" t="s">
        <v>754</v>
      </c>
      <c r="H3" s="416" t="s">
        <v>755</v>
      </c>
      <c r="I3" s="428" t="s">
        <v>756</v>
      </c>
      <c r="J3" s="417"/>
    </row>
    <row r="4" spans="2:10" x14ac:dyDescent="0.2">
      <c r="B4" s="418" t="s">
        <v>462</v>
      </c>
      <c r="C4" s="419" t="s">
        <v>463</v>
      </c>
      <c r="D4" s="444">
        <f>SUMIFS(BasisProgramma[255],BasisProgramma[Element],$B4,BasisProgramma[Handeling],$C4)</f>
        <v>243</v>
      </c>
      <c r="E4" s="445">
        <f>SUMIFS(BasisProgramma[204],BasisProgramma[Element],$B4,BasisProgramma[Handeling],$C4)</f>
        <v>192</v>
      </c>
      <c r="F4" s="445">
        <f>SUMIFS(BasisProgramma[156],BasisProgramma[Element],$B4,BasisProgramma[Handeling],$C4)</f>
        <v>144</v>
      </c>
      <c r="G4" s="445">
        <f>SUMIFS(BasisProgramma[104],BasisProgramma[Element],$B4,BasisProgramma[Handeling],$C4)</f>
        <v>92</v>
      </c>
      <c r="H4" s="445">
        <f>SUMIFS(BasisProgramma[52],BasisProgramma[Element],$B4,BasisProgramma[Handeling],$C4)</f>
        <v>46</v>
      </c>
      <c r="I4" s="460">
        <f>SUMIFS(BasisProgramma[4],BasisProgramma[Element],$B4,BasisProgramma[Handeling],$C4)</f>
        <v>0</v>
      </c>
      <c r="J4" s="446"/>
    </row>
    <row r="5" spans="2:10" x14ac:dyDescent="0.2">
      <c r="B5" s="422" t="s">
        <v>462</v>
      </c>
      <c r="C5" s="79" t="s">
        <v>464</v>
      </c>
      <c r="D5" s="447">
        <f>SUMIFS(BasisProgramma[255],BasisProgramma[Element],$B5,BasisProgramma[Handeling],$C5)</f>
        <v>12</v>
      </c>
      <c r="E5" s="448">
        <f>SUMIFS(BasisProgramma[204],BasisProgramma[Element],$B5,BasisProgramma[Handeling],$C5)</f>
        <v>12</v>
      </c>
      <c r="F5" s="448">
        <f>SUMIFS(BasisProgramma[156],BasisProgramma[Element],$B5,BasisProgramma[Handeling],$C5)</f>
        <v>12</v>
      </c>
      <c r="G5" s="448">
        <f>SUMIFS(BasisProgramma[104],BasisProgramma[Element],$B5,BasisProgramma[Handeling],$C5)</f>
        <v>12</v>
      </c>
      <c r="H5" s="448">
        <f>SUMIFS(BasisProgramma[52],BasisProgramma[Element],$B5,BasisProgramma[Handeling],$C5)</f>
        <v>6</v>
      </c>
      <c r="I5" s="461">
        <f>SUMIFS(BasisProgramma[4],BasisProgramma[Element],$B5,BasisProgramma[Handeling],$C5)</f>
        <v>4</v>
      </c>
      <c r="J5" s="449"/>
    </row>
    <row r="6" spans="2:10" x14ac:dyDescent="0.2">
      <c r="B6" s="422" t="s">
        <v>494</v>
      </c>
      <c r="C6" s="79" t="s">
        <v>427</v>
      </c>
      <c r="D6" s="447">
        <f>SUMIFS(BasisProgramma[255],BasisProgramma[Element],$B6,BasisProgramma[Handeling],$C6)</f>
        <v>255</v>
      </c>
      <c r="E6" s="448">
        <f>SUMIFS(BasisProgramma[204],BasisProgramma[Element],$B6,BasisProgramma[Handeling],$C6)</f>
        <v>204</v>
      </c>
      <c r="F6" s="448">
        <f>SUMIFS(BasisProgramma[156],BasisProgramma[Element],$B6,BasisProgramma[Handeling],$C6)</f>
        <v>156</v>
      </c>
      <c r="G6" s="448">
        <f>SUMIFS(BasisProgramma[104],BasisProgramma[Element],$B6,BasisProgramma[Handeling],$C6)</f>
        <v>104</v>
      </c>
      <c r="H6" s="448">
        <f>SUMIFS(BasisProgramma[52],BasisProgramma[Element],$B6,BasisProgramma[Handeling],$C6)</f>
        <v>52</v>
      </c>
      <c r="I6" s="461">
        <f>SUMIFS(BasisProgramma[4],BasisProgramma[Element],$B6,BasisProgramma[Handeling],$C6)</f>
        <v>4</v>
      </c>
      <c r="J6" s="449"/>
    </row>
    <row r="7" spans="2:10" x14ac:dyDescent="0.2">
      <c r="B7" s="422" t="s">
        <v>494</v>
      </c>
      <c r="C7" s="79" t="s">
        <v>428</v>
      </c>
      <c r="D7" s="447">
        <f>SUMIFS(BasisProgramma[255],BasisProgramma[Element],$B7,BasisProgramma[Handeling],$C7)</f>
        <v>203</v>
      </c>
      <c r="E7" s="448">
        <f>SUMIFS(BasisProgramma[204],BasisProgramma[Element],$B7,BasisProgramma[Handeling],$C7)</f>
        <v>152</v>
      </c>
      <c r="F7" s="448">
        <f>SUMIFS(BasisProgramma[156],BasisProgramma[Element],$B7,BasisProgramma[Handeling],$C7)</f>
        <v>104</v>
      </c>
      <c r="G7" s="448">
        <f>SUMIFS(BasisProgramma[104],BasisProgramma[Element],$B7,BasisProgramma[Handeling],$C7)</f>
        <v>92</v>
      </c>
      <c r="H7" s="448">
        <f>SUMIFS(BasisProgramma[52],BasisProgramma[Element],$B7,BasisProgramma[Handeling],$C7)</f>
        <v>46</v>
      </c>
      <c r="I7" s="461">
        <f>SUMIFS(BasisProgramma[4],BasisProgramma[Element],$B7,BasisProgramma[Handeling],$C7)</f>
        <v>0</v>
      </c>
      <c r="J7" s="449"/>
    </row>
    <row r="8" spans="2:10" x14ac:dyDescent="0.2">
      <c r="B8" s="422" t="s">
        <v>494</v>
      </c>
      <c r="C8" s="79" t="s">
        <v>429</v>
      </c>
      <c r="D8" s="447">
        <f>SUMIFS(BasisProgramma[255],BasisProgramma[Element],$B8,BasisProgramma[Handeling],$C8)</f>
        <v>52</v>
      </c>
      <c r="E8" s="448">
        <f>SUMIFS(BasisProgramma[204],BasisProgramma[Element],$B8,BasisProgramma[Handeling],$C8)</f>
        <v>52</v>
      </c>
      <c r="F8" s="448">
        <f>SUMIFS(BasisProgramma[156],BasisProgramma[Element],$B8,BasisProgramma[Handeling],$C8)</f>
        <v>52</v>
      </c>
      <c r="G8" s="448">
        <f>SUMIFS(BasisProgramma[104],BasisProgramma[Element],$B8,BasisProgramma[Handeling],$C8)</f>
        <v>12</v>
      </c>
      <c r="H8" s="448">
        <f>SUMIFS(BasisProgramma[52],BasisProgramma[Element],$B8,BasisProgramma[Handeling],$C8)</f>
        <v>6</v>
      </c>
      <c r="I8" s="461">
        <f>SUMIFS(BasisProgramma[4],BasisProgramma[Element],$B8,BasisProgramma[Handeling],$C8)</f>
        <v>4</v>
      </c>
      <c r="J8" s="449"/>
    </row>
    <row r="9" spans="2:10" x14ac:dyDescent="0.2">
      <c r="B9" s="422" t="s">
        <v>720</v>
      </c>
      <c r="C9" s="79" t="s">
        <v>428</v>
      </c>
      <c r="D9" s="447">
        <f>SUMIFS(BasisProgramma[255],BasisProgramma[Element],$B9,BasisProgramma[Handeling],$C9)</f>
        <v>203</v>
      </c>
      <c r="E9" s="448">
        <f>SUMIFS(BasisProgramma[204],BasisProgramma[Element],$B9,BasisProgramma[Handeling],$C9)</f>
        <v>152</v>
      </c>
      <c r="F9" s="448">
        <f>SUMIFS(BasisProgramma[156],BasisProgramma[Element],$B9,BasisProgramma[Handeling],$C9)</f>
        <v>104</v>
      </c>
      <c r="G9" s="448">
        <f>SUMIFS(BasisProgramma[104],BasisProgramma[Element],$B9,BasisProgramma[Handeling],$C9)</f>
        <v>52</v>
      </c>
      <c r="H9" s="448">
        <f>SUMIFS(BasisProgramma[52],BasisProgramma[Element],$B9,BasisProgramma[Handeling],$C9)</f>
        <v>0</v>
      </c>
      <c r="I9" s="461">
        <f>SUMIFS(BasisProgramma[4],BasisProgramma[Element],$B9,BasisProgramma[Handeling],$C9)</f>
        <v>0</v>
      </c>
      <c r="J9" s="449"/>
    </row>
    <row r="10" spans="2:10" x14ac:dyDescent="0.2">
      <c r="B10" s="422" t="s">
        <v>720</v>
      </c>
      <c r="C10" s="79" t="s">
        <v>452</v>
      </c>
      <c r="D10" s="447">
        <f>SUMIFS(BasisProgramma[255],BasisProgramma[Element],$B10,BasisProgramma[Handeling],$C10)</f>
        <v>52</v>
      </c>
      <c r="E10" s="448">
        <f>SUMIFS(BasisProgramma[204],BasisProgramma[Element],$B10,BasisProgramma[Handeling],$C10)</f>
        <v>52</v>
      </c>
      <c r="F10" s="448">
        <f>SUMIFS(BasisProgramma[156],BasisProgramma[Element],$B10,BasisProgramma[Handeling],$C10)</f>
        <v>52</v>
      </c>
      <c r="G10" s="448">
        <f>SUMIFS(BasisProgramma[104],BasisProgramma[Element],$B10,BasisProgramma[Handeling],$C10)</f>
        <v>52</v>
      </c>
      <c r="H10" s="448">
        <f>SUMIFS(BasisProgramma[52],BasisProgramma[Element],$B10,BasisProgramma[Handeling],$C10)</f>
        <v>52</v>
      </c>
      <c r="I10" s="461">
        <f>SUMIFS(BasisProgramma[4],BasisProgramma[Element],$B10,BasisProgramma[Handeling],$C10)</f>
        <v>4</v>
      </c>
      <c r="J10" s="449"/>
    </row>
    <row r="11" spans="2:10" x14ac:dyDescent="0.2">
      <c r="B11" s="422" t="s">
        <v>485</v>
      </c>
      <c r="C11" s="79" t="s">
        <v>428</v>
      </c>
      <c r="D11" s="447">
        <f>SUMIFS(BasisProgramma[255],BasisProgramma[Element],$B11,BasisProgramma[Handeling],$C11)</f>
        <v>52</v>
      </c>
      <c r="E11" s="448">
        <f>SUMIFS(BasisProgramma[204],BasisProgramma[Element],$B11,BasisProgramma[Handeling],$C11)</f>
        <v>52</v>
      </c>
      <c r="F11" s="448">
        <f>SUMIFS(BasisProgramma[156],BasisProgramma[Element],$B11,BasisProgramma[Handeling],$C11)</f>
        <v>52</v>
      </c>
      <c r="G11" s="448">
        <f>SUMIFS(BasisProgramma[104],BasisProgramma[Element],$B11,BasisProgramma[Handeling],$C11)</f>
        <v>12</v>
      </c>
      <c r="H11" s="448">
        <f>SUMIFS(BasisProgramma[52],BasisProgramma[Element],$B11,BasisProgramma[Handeling],$C11)</f>
        <v>12</v>
      </c>
      <c r="I11" s="461">
        <f>SUMIFS(BasisProgramma[4],BasisProgramma[Element],$B11,BasisProgramma[Handeling],$C11)</f>
        <v>4</v>
      </c>
      <c r="J11" s="449"/>
    </row>
    <row r="12" spans="2:10" x14ac:dyDescent="0.2">
      <c r="B12" s="422" t="s">
        <v>432</v>
      </c>
      <c r="C12" s="79" t="s">
        <v>428</v>
      </c>
      <c r="D12" s="447">
        <f>SUMIFS(BasisProgramma[255],BasisProgramma[Element],$B12,BasisProgramma[Handeling],$C12)</f>
        <v>243</v>
      </c>
      <c r="E12" s="448">
        <f>SUMIFS(BasisProgramma[204],BasisProgramma[Element],$B12,BasisProgramma[Handeling],$C12)</f>
        <v>192</v>
      </c>
      <c r="F12" s="448">
        <f>SUMIFS(BasisProgramma[156],BasisProgramma[Element],$B12,BasisProgramma[Handeling],$C12)</f>
        <v>144</v>
      </c>
      <c r="G12" s="448">
        <f>SUMIFS(BasisProgramma[104],BasisProgramma[Element],$B12,BasisProgramma[Handeling],$C12)</f>
        <v>92</v>
      </c>
      <c r="H12" s="448">
        <f>SUMIFS(BasisProgramma[52],BasisProgramma[Element],$B12,BasisProgramma[Handeling],$C12)</f>
        <v>46</v>
      </c>
      <c r="I12" s="461">
        <f>SUMIFS(BasisProgramma[4],BasisProgramma[Element],$B12,BasisProgramma[Handeling],$C12)</f>
        <v>0</v>
      </c>
      <c r="J12" s="449"/>
    </row>
    <row r="13" spans="2:10" x14ac:dyDescent="0.2">
      <c r="B13" s="422" t="s">
        <v>432</v>
      </c>
      <c r="C13" s="79" t="s">
        <v>433</v>
      </c>
      <c r="D13" s="447">
        <f>SUMIFS(BasisProgramma[255],BasisProgramma[Element],$B13,BasisProgramma[Handeling],$C13)</f>
        <v>243</v>
      </c>
      <c r="E13" s="448">
        <f>SUMIFS(BasisProgramma[204],BasisProgramma[Element],$B13,BasisProgramma[Handeling],$C13)</f>
        <v>192</v>
      </c>
      <c r="F13" s="448">
        <f>SUMIFS(BasisProgramma[156],BasisProgramma[Element],$B13,BasisProgramma[Handeling],$C13)</f>
        <v>144</v>
      </c>
      <c r="G13" s="448">
        <f>SUMIFS(BasisProgramma[104],BasisProgramma[Element],$B13,BasisProgramma[Handeling],$C13)</f>
        <v>92</v>
      </c>
      <c r="H13" s="448">
        <f>SUMIFS(BasisProgramma[52],BasisProgramma[Element],$B13,BasisProgramma[Handeling],$C13)</f>
        <v>46</v>
      </c>
      <c r="I13" s="461">
        <f>SUMIFS(BasisProgramma[4],BasisProgramma[Element],$B13,BasisProgramma[Handeling],$C13)</f>
        <v>0</v>
      </c>
      <c r="J13" s="449"/>
    </row>
    <row r="14" spans="2:10" x14ac:dyDescent="0.2">
      <c r="B14" s="422" t="s">
        <v>432</v>
      </c>
      <c r="C14" s="79" t="s">
        <v>429</v>
      </c>
      <c r="D14" s="447">
        <f>SUMIFS(BasisProgramma[255],BasisProgramma[Element],$B14,BasisProgramma[Handeling],$C14)</f>
        <v>12</v>
      </c>
      <c r="E14" s="448">
        <f>SUMIFS(BasisProgramma[204],BasisProgramma[Element],$B14,BasisProgramma[Handeling],$C14)</f>
        <v>12</v>
      </c>
      <c r="F14" s="448">
        <f>SUMIFS(BasisProgramma[156],BasisProgramma[Element],$B14,BasisProgramma[Handeling],$C14)</f>
        <v>12</v>
      </c>
      <c r="G14" s="448">
        <f>SUMIFS(BasisProgramma[104],BasisProgramma[Element],$B14,BasisProgramma[Handeling],$C14)</f>
        <v>12</v>
      </c>
      <c r="H14" s="448">
        <f>SUMIFS(BasisProgramma[52],BasisProgramma[Element],$B14,BasisProgramma[Handeling],$C14)</f>
        <v>6</v>
      </c>
      <c r="I14" s="461">
        <f>SUMIFS(BasisProgramma[4],BasisProgramma[Element],$B14,BasisProgramma[Handeling],$C14)</f>
        <v>4</v>
      </c>
      <c r="J14" s="449"/>
    </row>
    <row r="15" spans="2:10" x14ac:dyDescent="0.2">
      <c r="B15" s="422" t="s">
        <v>434</v>
      </c>
      <c r="C15" s="79" t="s">
        <v>435</v>
      </c>
      <c r="D15" s="447">
        <f>SUMIFS(BasisProgramma[255],BasisProgramma[Element],$B15,BasisProgramma[Handeling],$C15)</f>
        <v>203</v>
      </c>
      <c r="E15" s="448">
        <f>SUMIFS(BasisProgramma[204],BasisProgramma[Element],$B15,BasisProgramma[Handeling],$C15)</f>
        <v>152</v>
      </c>
      <c r="F15" s="448">
        <f>SUMIFS(BasisProgramma[156],BasisProgramma[Element],$B15,BasisProgramma[Handeling],$C15)</f>
        <v>104</v>
      </c>
      <c r="G15" s="448">
        <f>SUMIFS(BasisProgramma[104],BasisProgramma[Element],$B15,BasisProgramma[Handeling],$C15)</f>
        <v>98</v>
      </c>
      <c r="H15" s="448">
        <f>SUMIFS(BasisProgramma[52],BasisProgramma[Element],$B15,BasisProgramma[Handeling],$C15)</f>
        <v>46</v>
      </c>
      <c r="I15" s="461">
        <f>SUMIFS(BasisProgramma[4],BasisProgramma[Element],$B15,BasisProgramma[Handeling],$C15)</f>
        <v>0</v>
      </c>
      <c r="J15" s="449"/>
    </row>
    <row r="16" spans="2:10" x14ac:dyDescent="0.2">
      <c r="B16" s="422" t="s">
        <v>434</v>
      </c>
      <c r="C16" s="79" t="s">
        <v>429</v>
      </c>
      <c r="D16" s="447">
        <f>SUMIFS(BasisProgramma[255],BasisProgramma[Element],$B16,BasisProgramma[Handeling],$C16)</f>
        <v>52</v>
      </c>
      <c r="E16" s="448">
        <f>SUMIFS(BasisProgramma[204],BasisProgramma[Element],$B16,BasisProgramma[Handeling],$C16)</f>
        <v>52</v>
      </c>
      <c r="F16" s="448">
        <f>SUMIFS(BasisProgramma[156],BasisProgramma[Element],$B16,BasisProgramma[Handeling],$C16)</f>
        <v>52</v>
      </c>
      <c r="G16" s="448">
        <f>SUMIFS(BasisProgramma[104],BasisProgramma[Element],$B16,BasisProgramma[Handeling],$C16)</f>
        <v>12</v>
      </c>
      <c r="H16" s="448">
        <f>SUMIFS(BasisProgramma[52],BasisProgramma[Element],$B16,BasisProgramma[Handeling],$C16)</f>
        <v>12</v>
      </c>
      <c r="I16" s="461">
        <f>SUMIFS(BasisProgramma[4],BasisProgramma[Element],$B16,BasisProgramma[Handeling],$C16)</f>
        <v>4</v>
      </c>
      <c r="J16" s="449"/>
    </row>
    <row r="17" spans="2:10" x14ac:dyDescent="0.2">
      <c r="B17" s="422" t="s">
        <v>454</v>
      </c>
      <c r="C17" s="79" t="s">
        <v>439</v>
      </c>
      <c r="D17" s="447">
        <f>SUMIFS(BasisProgramma[255],BasisProgramma[Element],$B17,BasisProgramma[Handeling],$C17)</f>
        <v>52</v>
      </c>
      <c r="E17" s="448">
        <f>SUMIFS(BasisProgramma[204],BasisProgramma[Element],$B17,BasisProgramma[Handeling],$C17)</f>
        <v>52</v>
      </c>
      <c r="F17" s="448">
        <f>SUMIFS(BasisProgramma[156],BasisProgramma[Element],$B17,BasisProgramma[Handeling],$C17)</f>
        <v>52</v>
      </c>
      <c r="G17" s="448">
        <f>SUMIFS(BasisProgramma[104],BasisProgramma[Element],$B17,BasisProgramma[Handeling],$C17)</f>
        <v>12</v>
      </c>
      <c r="H17" s="448">
        <f>SUMIFS(BasisProgramma[52],BasisProgramma[Element],$B17,BasisProgramma[Handeling],$C17)</f>
        <v>6</v>
      </c>
      <c r="I17" s="461">
        <f>SUMIFS(BasisProgramma[4],BasisProgramma[Element],$B17,BasisProgramma[Handeling],$C17)</f>
        <v>4</v>
      </c>
      <c r="J17" s="449"/>
    </row>
    <row r="18" spans="2:10" x14ac:dyDescent="0.2">
      <c r="B18" s="54" t="s">
        <v>721</v>
      </c>
      <c r="C18" s="79" t="s">
        <v>467</v>
      </c>
      <c r="D18" s="447">
        <f>SUMIFS(BasisProgramma[255],BasisProgramma[Element],$B18,BasisProgramma[Handeling],$C18)</f>
        <v>255</v>
      </c>
      <c r="E18" s="448">
        <f>SUMIFS(BasisProgramma[204],BasisProgramma[Element],$B18,BasisProgramma[Handeling],$C18)</f>
        <v>204</v>
      </c>
      <c r="F18" s="448">
        <f>SUMIFS(BasisProgramma[156],BasisProgramma[Element],$B18,BasisProgramma[Handeling],$C18)</f>
        <v>156</v>
      </c>
      <c r="G18" s="448">
        <f>SUMIFS(BasisProgramma[104],BasisProgramma[Element],$B18,BasisProgramma[Handeling],$C18)</f>
        <v>104</v>
      </c>
      <c r="H18" s="448">
        <f>SUMIFS(BasisProgramma[52],BasisProgramma[Element],$B18,BasisProgramma[Handeling],$C18)</f>
        <v>52</v>
      </c>
      <c r="I18" s="461">
        <f>SUMIFS(BasisProgramma[4],BasisProgramma[Element],$B18,BasisProgramma[Handeling],$C18)</f>
        <v>4</v>
      </c>
      <c r="J18" s="449"/>
    </row>
    <row r="19" spans="2:10" x14ac:dyDescent="0.2">
      <c r="B19" s="54" t="s">
        <v>721</v>
      </c>
      <c r="C19" s="79" t="s">
        <v>452</v>
      </c>
      <c r="D19" s="447">
        <f>SUMIFS(BasisProgramma[255],BasisProgramma[Element],$B19,BasisProgramma[Handeling],$C19)</f>
        <v>255</v>
      </c>
      <c r="E19" s="448">
        <f>SUMIFS(BasisProgramma[204],BasisProgramma[Element],$B19,BasisProgramma[Handeling],$C19)</f>
        <v>204</v>
      </c>
      <c r="F19" s="448">
        <f>SUMIFS(BasisProgramma[156],BasisProgramma[Element],$B19,BasisProgramma[Handeling],$C19)</f>
        <v>156</v>
      </c>
      <c r="G19" s="448">
        <f>SUMIFS(BasisProgramma[104],BasisProgramma[Element],$B19,BasisProgramma[Handeling],$C19)</f>
        <v>104</v>
      </c>
      <c r="H19" s="448">
        <f>SUMIFS(BasisProgramma[52],BasisProgramma[Element],$B19,BasisProgramma[Handeling],$C19)</f>
        <v>52</v>
      </c>
      <c r="I19" s="461">
        <f>SUMIFS(BasisProgramma[4],BasisProgramma[Element],$B19,BasisProgramma[Handeling],$C19)</f>
        <v>4</v>
      </c>
      <c r="J19" s="449"/>
    </row>
    <row r="20" spans="2:10" x14ac:dyDescent="0.2">
      <c r="B20" s="422" t="s">
        <v>436</v>
      </c>
      <c r="C20" s="79" t="s">
        <v>429</v>
      </c>
      <c r="D20" s="447">
        <f>SUMIFS(BasisProgramma[255],BasisProgramma[Element],$B20,BasisProgramma[Handeling],$C20)</f>
        <v>52</v>
      </c>
      <c r="E20" s="448">
        <f>SUMIFS(BasisProgramma[204],BasisProgramma[Element],$B20,BasisProgramma[Handeling],$C20)</f>
        <v>52</v>
      </c>
      <c r="F20" s="448">
        <f>SUMIFS(BasisProgramma[156],BasisProgramma[Element],$B20,BasisProgramma[Handeling],$C20)</f>
        <v>52</v>
      </c>
      <c r="G20" s="448">
        <f>SUMIFS(BasisProgramma[104],BasisProgramma[Element],$B20,BasisProgramma[Handeling],$C20)</f>
        <v>52</v>
      </c>
      <c r="H20" s="448">
        <f>SUMIFS(BasisProgramma[52],BasisProgramma[Element],$B20,BasisProgramma[Handeling],$C20)</f>
        <v>52</v>
      </c>
      <c r="I20" s="461">
        <f>SUMIFS(BasisProgramma[4],BasisProgramma[Element],$B20,BasisProgramma[Handeling],$C20)</f>
        <v>4</v>
      </c>
      <c r="J20" s="449"/>
    </row>
    <row r="21" spans="2:10" x14ac:dyDescent="0.2">
      <c r="B21" s="422" t="s">
        <v>437</v>
      </c>
      <c r="C21" s="8" t="s">
        <v>738</v>
      </c>
      <c r="D21" s="450">
        <f>SUMIFS(BasisProgramma[255],BasisProgramma[Element],$B21,BasisProgramma[Handeling],$C21)</f>
        <v>251</v>
      </c>
      <c r="E21" s="451">
        <f>SUMIFS(BasisProgramma[204],BasisProgramma[Element],$B21,BasisProgramma[Handeling],$C21)</f>
        <v>200</v>
      </c>
      <c r="F21" s="451">
        <f>SUMIFS(BasisProgramma[156],BasisProgramma[Element],$B21,BasisProgramma[Handeling],$C21)</f>
        <v>152</v>
      </c>
      <c r="G21" s="451">
        <f>SUMIFS(BasisProgramma[104],BasisProgramma[Element],$B21,BasisProgramma[Handeling],$C21)</f>
        <v>100</v>
      </c>
      <c r="H21" s="451">
        <f>SUMIFS(BasisProgramma[52],BasisProgramma[Element],$B21,BasisProgramma[Handeling],$C21)</f>
        <v>50</v>
      </c>
      <c r="I21" s="462">
        <f>SUMIFS(BasisProgramma[4],BasisProgramma[Element],$B21,BasisProgramma[Handeling],$C21)</f>
        <v>0</v>
      </c>
      <c r="J21" s="452"/>
    </row>
    <row r="22" spans="2:10" x14ac:dyDescent="0.2">
      <c r="B22" s="422" t="s">
        <v>437</v>
      </c>
      <c r="C22" s="8" t="s">
        <v>739</v>
      </c>
      <c r="D22" s="450">
        <f>SUMIFS(BasisProgramma[255],BasisProgramma[Element],$B22,BasisProgramma[Handeling],$C22)</f>
        <v>40</v>
      </c>
      <c r="E22" s="451">
        <f>SUMIFS(BasisProgramma[204],BasisProgramma[Element],$B22,BasisProgramma[Handeling],$C22)</f>
        <v>40</v>
      </c>
      <c r="F22" s="451">
        <f>SUMIFS(BasisProgramma[156],BasisProgramma[Element],$B22,BasisProgramma[Handeling],$C22)</f>
        <v>40</v>
      </c>
      <c r="G22" s="451">
        <f>SUMIFS(BasisProgramma[104],BasisProgramma[Element],$B22,BasisProgramma[Handeling],$C22)</f>
        <v>40</v>
      </c>
      <c r="H22" s="451">
        <f>SUMIFS(BasisProgramma[52],BasisProgramma[Element],$B22,BasisProgramma[Handeling],$C22)</f>
        <v>40</v>
      </c>
      <c r="I22" s="462">
        <f>SUMIFS(BasisProgramma[4],BasisProgramma[Element],$B22,BasisProgramma[Handeling],$C22)</f>
        <v>0</v>
      </c>
      <c r="J22" s="452"/>
    </row>
    <row r="23" spans="2:10" x14ac:dyDescent="0.2">
      <c r="B23" s="422" t="s">
        <v>438</v>
      </c>
      <c r="C23" s="79" t="s">
        <v>439</v>
      </c>
      <c r="D23" s="450">
        <f>SUMIFS(BasisProgramma[255],BasisProgramma[Element],$B23,BasisProgramma[Handeling],$C23)</f>
        <v>8</v>
      </c>
      <c r="E23" s="451">
        <f>SUMIFS(BasisProgramma[204],BasisProgramma[Element],$B23,BasisProgramma[Handeling],$C23)</f>
        <v>8</v>
      </c>
      <c r="F23" s="451">
        <f>SUMIFS(BasisProgramma[156],BasisProgramma[Element],$B23,BasisProgramma[Handeling],$C23)</f>
        <v>8</v>
      </c>
      <c r="G23" s="451">
        <f>SUMIFS(BasisProgramma[104],BasisProgramma[Element],$B23,BasisProgramma[Handeling],$C23)</f>
        <v>8</v>
      </c>
      <c r="H23" s="451">
        <f>SUMIFS(BasisProgramma[52],BasisProgramma[Element],$B23,BasisProgramma[Handeling],$C23)</f>
        <v>4</v>
      </c>
      <c r="I23" s="462">
        <f>SUMIFS(BasisProgramma[4],BasisProgramma[Element],$B23,BasisProgramma[Handeling],$C23)</f>
        <v>0</v>
      </c>
      <c r="J23" s="452"/>
    </row>
    <row r="24" spans="2:10" x14ac:dyDescent="0.2">
      <c r="B24" s="422" t="s">
        <v>437</v>
      </c>
      <c r="C24" s="79" t="s">
        <v>429</v>
      </c>
      <c r="D24" s="450">
        <f>SUMIFS(BasisProgramma[255],BasisProgramma[Element],$B24,BasisProgramma[Handeling],$C24)</f>
        <v>4</v>
      </c>
      <c r="E24" s="451">
        <f>SUMIFS(BasisProgramma[204],BasisProgramma[Element],$B24,BasisProgramma[Handeling],$C24)</f>
        <v>4</v>
      </c>
      <c r="F24" s="451">
        <f>SUMIFS(BasisProgramma[156],BasisProgramma[Element],$B24,BasisProgramma[Handeling],$C24)</f>
        <v>4</v>
      </c>
      <c r="G24" s="451">
        <f>SUMIFS(BasisProgramma[104],BasisProgramma[Element],$B24,BasisProgramma[Handeling],$C24)</f>
        <v>4</v>
      </c>
      <c r="H24" s="451">
        <f>SUMIFS(BasisProgramma[52],BasisProgramma[Element],$B24,BasisProgramma[Handeling],$C24)</f>
        <v>2</v>
      </c>
      <c r="I24" s="462">
        <f>SUMIFS(BasisProgramma[4],BasisProgramma[Element],$B24,BasisProgramma[Handeling],$C24)</f>
        <v>4</v>
      </c>
      <c r="J24" s="452"/>
    </row>
    <row r="25" spans="2:10" x14ac:dyDescent="0.2">
      <c r="B25" s="422" t="s">
        <v>476</v>
      </c>
      <c r="C25" s="79" t="s">
        <v>441</v>
      </c>
      <c r="D25" s="447">
        <f>SUMIFS(BasisProgramma[255],BasisProgramma[Element],$B25,BasisProgramma[Handeling],$C25)</f>
        <v>52</v>
      </c>
      <c r="E25" s="448">
        <f>SUMIFS(BasisProgramma[204],BasisProgramma[Element],$B25,BasisProgramma[Handeling],$C25)</f>
        <v>52</v>
      </c>
      <c r="F25" s="448">
        <f>SUMIFS(BasisProgramma[156],BasisProgramma[Element],$B25,BasisProgramma[Handeling],$C25)</f>
        <v>52</v>
      </c>
      <c r="G25" s="448">
        <f>SUMIFS(BasisProgramma[104],BasisProgramma[Element],$B25,BasisProgramma[Handeling],$C25)</f>
        <v>12</v>
      </c>
      <c r="H25" s="448">
        <f>SUMIFS(BasisProgramma[52],BasisProgramma[Element],$B25,BasisProgramma[Handeling],$C25)</f>
        <v>12</v>
      </c>
      <c r="I25" s="461">
        <f>SUMIFS(BasisProgramma[4],BasisProgramma[Element],$B25,BasisProgramma[Handeling],$C25)</f>
        <v>4</v>
      </c>
      <c r="J25" s="449"/>
    </row>
    <row r="26" spans="2:10" x14ac:dyDescent="0.2">
      <c r="B26" s="422" t="s">
        <v>442</v>
      </c>
      <c r="C26" s="79" t="s">
        <v>443</v>
      </c>
      <c r="D26" s="447">
        <f>SUMIFS(BasisProgramma[255],BasisProgramma[Element],$B26,BasisProgramma[Handeling],$C26)</f>
        <v>2</v>
      </c>
      <c r="E26" s="448">
        <f>SUMIFS(BasisProgramma[204],BasisProgramma[Element],$B26,BasisProgramma[Handeling],$C26)</f>
        <v>2</v>
      </c>
      <c r="F26" s="448">
        <f>SUMIFS(BasisProgramma[156],BasisProgramma[Element],$B26,BasisProgramma[Handeling],$C26)</f>
        <v>2</v>
      </c>
      <c r="G26" s="448">
        <f>SUMIFS(BasisProgramma[104],BasisProgramma[Element],$B26,BasisProgramma[Handeling],$C26)</f>
        <v>2</v>
      </c>
      <c r="H26" s="448">
        <f>SUMIFS(BasisProgramma[52],BasisProgramma[Element],$B26,BasisProgramma[Handeling],$C26)</f>
        <v>2</v>
      </c>
      <c r="I26" s="461">
        <f>SUMIFS(BasisProgramma[4],BasisProgramma[Element],$B26,BasisProgramma[Handeling],$C26)</f>
        <v>2</v>
      </c>
      <c r="J26" s="449"/>
    </row>
    <row r="27" spans="2:10" x14ac:dyDescent="0.2">
      <c r="B27" s="422" t="s">
        <v>500</v>
      </c>
      <c r="C27" s="79" t="s">
        <v>428</v>
      </c>
      <c r="D27" s="447">
        <f>SUMIFS(BasisProgramma[255],BasisProgramma[Element],$B27,BasisProgramma[Handeling],$C27)</f>
        <v>243</v>
      </c>
      <c r="E27" s="448">
        <f>SUMIFS(BasisProgramma[204],BasisProgramma[Element],$B27,BasisProgramma[Handeling],$C27)</f>
        <v>192</v>
      </c>
      <c r="F27" s="448">
        <f>SUMIFS(BasisProgramma[156],BasisProgramma[Element],$B27,BasisProgramma[Handeling],$C27)</f>
        <v>144</v>
      </c>
      <c r="G27" s="448">
        <f>SUMIFS(BasisProgramma[104],BasisProgramma[Element],$B27,BasisProgramma[Handeling],$C27)</f>
        <v>92</v>
      </c>
      <c r="H27" s="448">
        <f>SUMIFS(BasisProgramma[52],BasisProgramma[Element],$B27,BasisProgramma[Handeling],$C27)</f>
        <v>46</v>
      </c>
      <c r="I27" s="461">
        <f>SUMIFS(BasisProgramma[4],BasisProgramma[Element],$B27,BasisProgramma[Handeling],$C27)</f>
        <v>0</v>
      </c>
      <c r="J27" s="449"/>
    </row>
    <row r="28" spans="2:10" x14ac:dyDescent="0.2">
      <c r="B28" s="422" t="s">
        <v>500</v>
      </c>
      <c r="C28" s="79" t="s">
        <v>452</v>
      </c>
      <c r="D28" s="447">
        <f>SUMIFS(BasisProgramma[255],BasisProgramma[Element],$B28,BasisProgramma[Handeling],$C28)</f>
        <v>12</v>
      </c>
      <c r="E28" s="448">
        <f>SUMIFS(BasisProgramma[204],BasisProgramma[Element],$B28,BasisProgramma[Handeling],$C28)</f>
        <v>12</v>
      </c>
      <c r="F28" s="448">
        <f>SUMIFS(BasisProgramma[156],BasisProgramma[Element],$B28,BasisProgramma[Handeling],$C28)</f>
        <v>12</v>
      </c>
      <c r="G28" s="448">
        <f>SUMIFS(BasisProgramma[104],BasisProgramma[Element],$B28,BasisProgramma[Handeling],$C28)</f>
        <v>12</v>
      </c>
      <c r="H28" s="448">
        <f>SUMIFS(BasisProgramma[52],BasisProgramma[Element],$B28,BasisProgramma[Handeling],$C28)</f>
        <v>6</v>
      </c>
      <c r="I28" s="461">
        <f>SUMIFS(BasisProgramma[4],BasisProgramma[Element],$B28,BasisProgramma[Handeling],$C28)</f>
        <v>4</v>
      </c>
      <c r="J28" s="449"/>
    </row>
    <row r="29" spans="2:10" x14ac:dyDescent="0.2">
      <c r="B29" s="422" t="s">
        <v>501</v>
      </c>
      <c r="C29" s="79" t="s">
        <v>441</v>
      </c>
      <c r="D29" s="447">
        <f>SUMIFS(BasisProgramma[255],BasisProgramma[Element],$B29,BasisProgramma[Handeling],$C29)</f>
        <v>52</v>
      </c>
      <c r="E29" s="448">
        <f>SUMIFS(BasisProgramma[204],BasisProgramma[Element],$B29,BasisProgramma[Handeling],$C29)</f>
        <v>52</v>
      </c>
      <c r="F29" s="448">
        <f>SUMIFS(BasisProgramma[156],BasisProgramma[Element],$B29,BasisProgramma[Handeling],$C29)</f>
        <v>52</v>
      </c>
      <c r="G29" s="448">
        <f>SUMIFS(BasisProgramma[104],BasisProgramma[Element],$B29,BasisProgramma[Handeling],$C29)</f>
        <v>52</v>
      </c>
      <c r="H29" s="448">
        <f>SUMIFS(BasisProgramma[52],BasisProgramma[Element],$B29,BasisProgramma[Handeling],$C29)</f>
        <v>52</v>
      </c>
      <c r="I29" s="461">
        <f>SUMIFS(BasisProgramma[4],BasisProgramma[Element],$B29,BasisProgramma[Handeling],$C29)</f>
        <v>4</v>
      </c>
      <c r="J29" s="449"/>
    </row>
    <row r="30" spans="2:10" x14ac:dyDescent="0.2">
      <c r="B30" s="422" t="s">
        <v>487</v>
      </c>
      <c r="C30" s="79" t="s">
        <v>428</v>
      </c>
      <c r="D30" s="447">
        <f>SUMIFS(BasisProgramma[255],BasisProgramma[Element],$B30,BasisProgramma[Handeling],$C30)</f>
        <v>255</v>
      </c>
      <c r="E30" s="448">
        <f>SUMIFS(BasisProgramma[204],BasisProgramma[Element],$B30,BasisProgramma[Handeling],$C30)</f>
        <v>204</v>
      </c>
      <c r="F30" s="448">
        <f>SUMIFS(BasisProgramma[156],BasisProgramma[Element],$B30,BasisProgramma[Handeling],$C30)</f>
        <v>156</v>
      </c>
      <c r="G30" s="448">
        <f>SUMIFS(BasisProgramma[104],BasisProgramma[Element],$B30,BasisProgramma[Handeling],$C30)</f>
        <v>104</v>
      </c>
      <c r="H30" s="448">
        <f>SUMIFS(BasisProgramma[52],BasisProgramma[Element],$B30,BasisProgramma[Handeling],$C30)</f>
        <v>52</v>
      </c>
      <c r="I30" s="461">
        <f>SUMIFS(BasisProgramma[4],BasisProgramma[Element],$B30,BasisProgramma[Handeling],$C30)</f>
        <v>4</v>
      </c>
      <c r="J30" s="449"/>
    </row>
    <row r="31" spans="2:10" x14ac:dyDescent="0.2">
      <c r="B31" s="422" t="s">
        <v>444</v>
      </c>
      <c r="C31" s="79" t="s">
        <v>435</v>
      </c>
      <c r="D31" s="447">
        <f>SUMIFS(BasisProgramma[255],BasisProgramma[Element],$B31,BasisProgramma[Handeling],$C31)</f>
        <v>255</v>
      </c>
      <c r="E31" s="448">
        <f>SUMIFS(BasisProgramma[204],BasisProgramma[Element],$B31,BasisProgramma[Handeling],$C31)</f>
        <v>204</v>
      </c>
      <c r="F31" s="448">
        <f>SUMIFS(BasisProgramma[156],BasisProgramma[Element],$B31,BasisProgramma[Handeling],$C31)</f>
        <v>156</v>
      </c>
      <c r="G31" s="448">
        <f>SUMIFS(BasisProgramma[104],BasisProgramma[Element],$B31,BasisProgramma[Handeling],$C31)</f>
        <v>104</v>
      </c>
      <c r="H31" s="448">
        <f>SUMIFS(BasisProgramma[52],BasisProgramma[Element],$B31,BasisProgramma[Handeling],$C31)</f>
        <v>52</v>
      </c>
      <c r="I31" s="461">
        <f>SUMIFS(BasisProgramma[4],BasisProgramma[Element],$B31,BasisProgramma[Handeling],$C31)</f>
        <v>4</v>
      </c>
      <c r="J31" s="449"/>
    </row>
    <row r="32" spans="2:10" x14ac:dyDescent="0.2">
      <c r="B32" s="422" t="s">
        <v>445</v>
      </c>
      <c r="C32" s="79" t="s">
        <v>446</v>
      </c>
      <c r="D32" s="447">
        <f>SUMIFS(BasisProgramma[255],BasisProgramma[Element],$B32,BasisProgramma[Handeling],$C32)</f>
        <v>255</v>
      </c>
      <c r="E32" s="448">
        <f>SUMIFS(BasisProgramma[204],BasisProgramma[Element],$B32,BasisProgramma[Handeling],$C32)</f>
        <v>204</v>
      </c>
      <c r="F32" s="448">
        <f>SUMIFS(BasisProgramma[156],BasisProgramma[Element],$B32,BasisProgramma[Handeling],$C32)</f>
        <v>156</v>
      </c>
      <c r="G32" s="448">
        <f>SUMIFS(BasisProgramma[104],BasisProgramma[Element],$B32,BasisProgramma[Handeling],$C32)</f>
        <v>104</v>
      </c>
      <c r="H32" s="448">
        <f>SUMIFS(BasisProgramma[52],BasisProgramma[Element],$B32,BasisProgramma[Handeling],$C32)</f>
        <v>52</v>
      </c>
      <c r="I32" s="461">
        <f>SUMIFS(BasisProgramma[4],BasisProgramma[Element],$B32,BasisProgramma[Handeling],$C32)</f>
        <v>4</v>
      </c>
      <c r="J32" s="449"/>
    </row>
    <row r="33" spans="2:10" x14ac:dyDescent="0.2">
      <c r="B33" s="422" t="s">
        <v>495</v>
      </c>
      <c r="C33" s="79" t="s">
        <v>496</v>
      </c>
      <c r="D33" s="447">
        <f>SUMIFS(BasisProgramma[255],BasisProgramma[Element],$B33,BasisProgramma[Handeling],$C33)</f>
        <v>203</v>
      </c>
      <c r="E33" s="448">
        <f>SUMIFS(BasisProgramma[204],BasisProgramma[Element],$B33,BasisProgramma[Handeling],$C33)</f>
        <v>152</v>
      </c>
      <c r="F33" s="448">
        <f>SUMIFS(BasisProgramma[156],BasisProgramma[Element],$B33,BasisProgramma[Handeling],$C33)</f>
        <v>104</v>
      </c>
      <c r="G33" s="448">
        <f>SUMIFS(BasisProgramma[104],BasisProgramma[Element],$B33,BasisProgramma[Handeling],$C33)</f>
        <v>92</v>
      </c>
      <c r="H33" s="448">
        <f>SUMIFS(BasisProgramma[52],BasisProgramma[Element],$B33,BasisProgramma[Handeling],$C33)</f>
        <v>40</v>
      </c>
      <c r="I33" s="461">
        <f>SUMIFS(BasisProgramma[4],BasisProgramma[Element],$B33,BasisProgramma[Handeling],$C33)</f>
        <v>0</v>
      </c>
      <c r="J33" s="449"/>
    </row>
    <row r="34" spans="2:10" x14ac:dyDescent="0.2">
      <c r="B34" s="422" t="s">
        <v>495</v>
      </c>
      <c r="C34" s="79" t="s">
        <v>497</v>
      </c>
      <c r="D34" s="447">
        <f>SUMIFS(BasisProgramma[255],BasisProgramma[Element],$B34,BasisProgramma[Handeling],$C34)</f>
        <v>52</v>
      </c>
      <c r="E34" s="448">
        <f>SUMIFS(BasisProgramma[204],BasisProgramma[Element],$B34,BasisProgramma[Handeling],$C34)</f>
        <v>52</v>
      </c>
      <c r="F34" s="448">
        <f>SUMIFS(BasisProgramma[156],BasisProgramma[Element],$B34,BasisProgramma[Handeling],$C34)</f>
        <v>52</v>
      </c>
      <c r="G34" s="448">
        <f>SUMIFS(BasisProgramma[104],BasisProgramma[Element],$B34,BasisProgramma[Handeling],$C34)</f>
        <v>12</v>
      </c>
      <c r="H34" s="448">
        <f>SUMIFS(BasisProgramma[52],BasisProgramma[Element],$B34,BasisProgramma[Handeling],$C34)</f>
        <v>12</v>
      </c>
      <c r="I34" s="461">
        <f>SUMIFS(BasisProgramma[4],BasisProgramma[Element],$B34,BasisProgramma[Handeling],$C34)</f>
        <v>4</v>
      </c>
      <c r="J34" s="449"/>
    </row>
    <row r="35" spans="2:10" x14ac:dyDescent="0.2">
      <c r="B35" s="422" t="s">
        <v>448</v>
      </c>
      <c r="C35" s="79" t="s">
        <v>428</v>
      </c>
      <c r="D35" s="447">
        <f>SUMIFS(BasisProgramma[255],BasisProgramma[Element],$B35,BasisProgramma[Handeling],$C35)</f>
        <v>40</v>
      </c>
      <c r="E35" s="448">
        <f>SUMIFS(BasisProgramma[204],BasisProgramma[Element],$B35,BasisProgramma[Handeling],$C35)</f>
        <v>40</v>
      </c>
      <c r="F35" s="448">
        <f>SUMIFS(BasisProgramma[156],BasisProgramma[Element],$B35,BasisProgramma[Handeling],$C35)</f>
        <v>40</v>
      </c>
      <c r="G35" s="448">
        <f>SUMIFS(BasisProgramma[104],BasisProgramma[Element],$B35,BasisProgramma[Handeling],$C35)</f>
        <v>40</v>
      </c>
      <c r="H35" s="448">
        <f>SUMIFS(BasisProgramma[52],BasisProgramma[Element],$B35,BasisProgramma[Handeling],$C35)</f>
        <v>40</v>
      </c>
      <c r="I35" s="461">
        <f>SUMIFS(BasisProgramma[4],BasisProgramma[Element],$B35,BasisProgramma[Handeling],$C35)</f>
        <v>0</v>
      </c>
      <c r="J35" s="449"/>
    </row>
    <row r="36" spans="2:10" x14ac:dyDescent="0.2">
      <c r="B36" s="422" t="s">
        <v>448</v>
      </c>
      <c r="C36" s="79" t="s">
        <v>452</v>
      </c>
      <c r="D36" s="447">
        <f>SUMIFS(BasisProgramma[255],BasisProgramma[Element],$B36,BasisProgramma[Handeling],$C36)</f>
        <v>12</v>
      </c>
      <c r="E36" s="448">
        <f>SUMIFS(BasisProgramma[204],BasisProgramma[Element],$B36,BasisProgramma[Handeling],$C36)</f>
        <v>12</v>
      </c>
      <c r="F36" s="448">
        <f>SUMIFS(BasisProgramma[156],BasisProgramma[Element],$B36,BasisProgramma[Handeling],$C36)</f>
        <v>12</v>
      </c>
      <c r="G36" s="448">
        <f>SUMIFS(BasisProgramma[104],BasisProgramma[Element],$B36,BasisProgramma[Handeling],$C36)</f>
        <v>12</v>
      </c>
      <c r="H36" s="448">
        <f>SUMIFS(BasisProgramma[52],BasisProgramma[Element],$B36,BasisProgramma[Handeling],$C36)</f>
        <v>12</v>
      </c>
      <c r="I36" s="461">
        <f>SUMIFS(BasisProgramma[4],BasisProgramma[Element],$B36,BasisProgramma[Handeling],$C36)</f>
        <v>4</v>
      </c>
      <c r="J36" s="449"/>
    </row>
    <row r="37" spans="2:10" x14ac:dyDescent="0.2">
      <c r="B37" s="422" t="s">
        <v>450</v>
      </c>
      <c r="C37" s="79" t="s">
        <v>428</v>
      </c>
      <c r="D37" s="447">
        <f>SUMIFS(BasisProgramma[255],BasisProgramma[Element],$B37,BasisProgramma[Handeling],$C37)</f>
        <v>40</v>
      </c>
      <c r="E37" s="448">
        <f>SUMIFS(BasisProgramma[204],BasisProgramma[Element],$B37,BasisProgramma[Handeling],$C37)</f>
        <v>40</v>
      </c>
      <c r="F37" s="448">
        <f>SUMIFS(BasisProgramma[156],BasisProgramma[Element],$B37,BasisProgramma[Handeling],$C37)</f>
        <v>40</v>
      </c>
      <c r="G37" s="448">
        <f>SUMIFS(BasisProgramma[104],BasisProgramma[Element],$B37,BasisProgramma[Handeling],$C37)</f>
        <v>40</v>
      </c>
      <c r="H37" s="448">
        <f>SUMIFS(BasisProgramma[52],BasisProgramma[Element],$B37,BasisProgramma[Handeling],$C37)</f>
        <v>40</v>
      </c>
      <c r="I37" s="461">
        <f>SUMIFS(BasisProgramma[4],BasisProgramma[Element],$B37,BasisProgramma[Handeling],$C37)</f>
        <v>0</v>
      </c>
      <c r="J37" s="449"/>
    </row>
    <row r="38" spans="2:10" x14ac:dyDescent="0.2">
      <c r="B38" s="422" t="s">
        <v>450</v>
      </c>
      <c r="C38" s="79" t="s">
        <v>429</v>
      </c>
      <c r="D38" s="447">
        <f>SUMIFS(BasisProgramma[255],BasisProgramma[Element],$B38,BasisProgramma[Handeling],$C38)</f>
        <v>12</v>
      </c>
      <c r="E38" s="448">
        <f>SUMIFS(BasisProgramma[204],BasisProgramma[Element],$B38,BasisProgramma[Handeling],$C38)</f>
        <v>12</v>
      </c>
      <c r="F38" s="448">
        <f>SUMIFS(BasisProgramma[156],BasisProgramma[Element],$B38,BasisProgramma[Handeling],$C38)</f>
        <v>12</v>
      </c>
      <c r="G38" s="448">
        <f>SUMIFS(BasisProgramma[104],BasisProgramma[Element],$B38,BasisProgramma[Handeling],$C38)</f>
        <v>12</v>
      </c>
      <c r="H38" s="448">
        <f>SUMIFS(BasisProgramma[52],BasisProgramma[Element],$B38,BasisProgramma[Handeling],$C38)</f>
        <v>12</v>
      </c>
      <c r="I38" s="461">
        <f>SUMIFS(BasisProgramma[4],BasisProgramma[Element],$B38,BasisProgramma[Handeling],$C38)</f>
        <v>4</v>
      </c>
      <c r="J38" s="449"/>
    </row>
    <row r="39" spans="2:10" x14ac:dyDescent="0.2">
      <c r="B39" s="422" t="s">
        <v>744</v>
      </c>
      <c r="C39" s="78" t="s">
        <v>742</v>
      </c>
      <c r="D39" s="447">
        <f>SUMIFS(BasisProgramma[255],BasisProgramma[Element],$B39,BasisProgramma[Handeling],$C39)</f>
        <v>255</v>
      </c>
      <c r="E39" s="448">
        <f>SUMIFS(BasisProgramma[204],BasisProgramma[Element],$B39,BasisProgramma[Handeling],$C39)</f>
        <v>204</v>
      </c>
      <c r="F39" s="448">
        <f>SUMIFS(BasisProgramma[156],BasisProgramma[Element],$B39,BasisProgramma[Handeling],$C39)</f>
        <v>156</v>
      </c>
      <c r="G39" s="448">
        <f>SUMIFS(BasisProgramma[104],BasisProgramma[Element],$B39,BasisProgramma[Handeling],$C39)</f>
        <v>104</v>
      </c>
      <c r="H39" s="448">
        <f>SUMIFS(BasisProgramma[52],BasisProgramma[Element],$B39,BasisProgramma[Handeling],$C39)</f>
        <v>52</v>
      </c>
      <c r="I39" s="461">
        <f>SUMIFS(BasisProgramma[4],BasisProgramma[Element],$B39,BasisProgramma[Handeling],$C39)</f>
        <v>4</v>
      </c>
      <c r="J39" s="449"/>
    </row>
    <row r="40" spans="2:10" x14ac:dyDescent="0.2">
      <c r="B40" s="422" t="s">
        <v>744</v>
      </c>
      <c r="C40" s="78" t="s">
        <v>483</v>
      </c>
      <c r="D40" s="447">
        <f>SUMIFS(BasisProgramma[255],BasisProgramma[Element],$B40,BasisProgramma[Handeling],$C40)</f>
        <v>52</v>
      </c>
      <c r="E40" s="448">
        <f>SUMIFS(BasisProgramma[204],BasisProgramma[Element],$B40,BasisProgramma[Handeling],$C40)</f>
        <v>52</v>
      </c>
      <c r="F40" s="448">
        <f>SUMIFS(BasisProgramma[156],BasisProgramma[Element],$B40,BasisProgramma[Handeling],$C40)</f>
        <v>52</v>
      </c>
      <c r="G40" s="448">
        <f>SUMIFS(BasisProgramma[104],BasisProgramma[Element],$B40,BasisProgramma[Handeling],$C40)</f>
        <v>52</v>
      </c>
      <c r="H40" s="448">
        <f>SUMIFS(BasisProgramma[52],BasisProgramma[Element],$B40,BasisProgramma[Handeling],$C40)</f>
        <v>52</v>
      </c>
      <c r="I40" s="461">
        <f>SUMIFS(BasisProgramma[4],BasisProgramma[Element],$B40,BasisProgramma[Handeling],$C40)</f>
        <v>4</v>
      </c>
      <c r="J40" s="449"/>
    </row>
    <row r="41" spans="2:10" x14ac:dyDescent="0.2">
      <c r="B41" s="422" t="s">
        <v>744</v>
      </c>
      <c r="C41" s="78" t="s">
        <v>741</v>
      </c>
      <c r="D41" s="447">
        <f>SUMIFS(BasisProgramma[255],BasisProgramma[Element],$B41,BasisProgramma[Handeling],$C41)</f>
        <v>4</v>
      </c>
      <c r="E41" s="448">
        <f>SUMIFS(BasisProgramma[204],BasisProgramma[Element],$B41,BasisProgramma[Handeling],$C41)</f>
        <v>4</v>
      </c>
      <c r="F41" s="448">
        <f>SUMIFS(BasisProgramma[156],BasisProgramma[Element],$B41,BasisProgramma[Handeling],$C41)</f>
        <v>4</v>
      </c>
      <c r="G41" s="448">
        <f>SUMIFS(BasisProgramma[104],BasisProgramma[Element],$B41,BasisProgramma[Handeling],$C41)</f>
        <v>4</v>
      </c>
      <c r="H41" s="448">
        <f>SUMIFS(BasisProgramma[52],BasisProgramma[Element],$B41,BasisProgramma[Handeling],$C41)</f>
        <v>4</v>
      </c>
      <c r="I41" s="461">
        <f>SUMIFS(BasisProgramma[4],BasisProgramma[Element],$B41,BasisProgramma[Handeling],$C41)</f>
        <v>4</v>
      </c>
      <c r="J41" s="449"/>
    </row>
    <row r="42" spans="2:10" x14ac:dyDescent="0.2">
      <c r="B42" s="422" t="s">
        <v>686</v>
      </c>
      <c r="C42" s="79" t="s">
        <v>749</v>
      </c>
      <c r="D42" s="447">
        <f>SUMIFS(BasisProgramma[255],BasisProgramma[Element],$B42,BasisProgramma[Handeling],$C42)</f>
        <v>203</v>
      </c>
      <c r="E42" s="448">
        <f>SUMIFS(BasisProgramma[204],BasisProgramma[Element],$B42,BasisProgramma[Handeling],$C42)</f>
        <v>152</v>
      </c>
      <c r="F42" s="448">
        <f>SUMIFS(BasisProgramma[156],BasisProgramma[Element],$B42,BasisProgramma[Handeling],$C42)</f>
        <v>104</v>
      </c>
      <c r="G42" s="448">
        <f>SUMIFS(BasisProgramma[104],BasisProgramma[Element],$B42,BasisProgramma[Handeling],$C42)</f>
        <v>52</v>
      </c>
      <c r="H42" s="448">
        <f>SUMIFS(BasisProgramma[52],BasisProgramma[Element],$B42,BasisProgramma[Handeling],$C42)</f>
        <v>0</v>
      </c>
      <c r="I42" s="461">
        <f>SUMIFS(BasisProgramma[4],BasisProgramma[Element],$B42,BasisProgramma[Handeling],$C42)</f>
        <v>0</v>
      </c>
      <c r="J42" s="449"/>
    </row>
    <row r="43" spans="2:10" x14ac:dyDescent="0.2">
      <c r="B43" s="422" t="s">
        <v>686</v>
      </c>
      <c r="C43" s="79" t="s">
        <v>472</v>
      </c>
      <c r="D43" s="447">
        <f>SUMIFS(BasisProgramma[255],BasisProgramma[Element],$B43,BasisProgramma[Handeling],$C43)</f>
        <v>255</v>
      </c>
      <c r="E43" s="448">
        <f>SUMIFS(BasisProgramma[204],BasisProgramma[Element],$B43,BasisProgramma[Handeling],$C43)</f>
        <v>204</v>
      </c>
      <c r="F43" s="448">
        <f>SUMIFS(BasisProgramma[156],BasisProgramma[Element],$B43,BasisProgramma[Handeling],$C43)</f>
        <v>156</v>
      </c>
      <c r="G43" s="448">
        <f>SUMIFS(BasisProgramma[104],BasisProgramma[Element],$B43,BasisProgramma[Handeling],$C43)</f>
        <v>104</v>
      </c>
      <c r="H43" s="448">
        <f>SUMIFS(BasisProgramma[52],BasisProgramma[Element],$B43,BasisProgramma[Handeling],$C43)</f>
        <v>52</v>
      </c>
      <c r="I43" s="461">
        <f>SUMIFS(BasisProgramma[4],BasisProgramma[Element],$B43,BasisProgramma[Handeling],$C43)</f>
        <v>4</v>
      </c>
      <c r="J43" s="449"/>
    </row>
    <row r="44" spans="2:10" x14ac:dyDescent="0.2">
      <c r="B44" s="422" t="s">
        <v>686</v>
      </c>
      <c r="C44" s="79" t="s">
        <v>750</v>
      </c>
      <c r="D44" s="447">
        <f>SUMIFS(BasisProgramma[255],BasisProgramma[Element],$B44,BasisProgramma[Handeling],$C44)</f>
        <v>52</v>
      </c>
      <c r="E44" s="448">
        <f>SUMIFS(BasisProgramma[204],BasisProgramma[Element],$B44,BasisProgramma[Handeling],$C44)</f>
        <v>52</v>
      </c>
      <c r="F44" s="448">
        <f>SUMIFS(BasisProgramma[156],BasisProgramma[Element],$B44,BasisProgramma[Handeling],$C44)</f>
        <v>52</v>
      </c>
      <c r="G44" s="448">
        <f>SUMIFS(BasisProgramma[104],BasisProgramma[Element],$B44,BasisProgramma[Handeling],$C44)</f>
        <v>52</v>
      </c>
      <c r="H44" s="448">
        <f>SUMIFS(BasisProgramma[52],BasisProgramma[Element],$B44,BasisProgramma[Handeling],$C44)</f>
        <v>52</v>
      </c>
      <c r="I44" s="461">
        <f>SUMIFS(BasisProgramma[4],BasisProgramma[Element],$B44,BasisProgramma[Handeling],$C44)</f>
        <v>4</v>
      </c>
      <c r="J44" s="449"/>
    </row>
    <row r="45" spans="2:10" x14ac:dyDescent="0.2">
      <c r="B45" s="422" t="s">
        <v>468</v>
      </c>
      <c r="C45" s="79" t="s">
        <v>460</v>
      </c>
      <c r="D45" s="447">
        <f>SUMIFS(BasisProgramma[255],BasisProgramma[Element],$B45,BasisProgramma[Handeling],$C45)</f>
        <v>243</v>
      </c>
      <c r="E45" s="448">
        <f>SUMIFS(BasisProgramma[204],BasisProgramma[Element],$B45,BasisProgramma[Handeling],$C45)</f>
        <v>192</v>
      </c>
      <c r="F45" s="448">
        <f>SUMIFS(BasisProgramma[156],BasisProgramma[Element],$B45,BasisProgramma[Handeling],$C45)</f>
        <v>144</v>
      </c>
      <c r="G45" s="448">
        <f>SUMIFS(BasisProgramma[104],BasisProgramma[Element],$B45,BasisProgramma[Handeling],$C45)</f>
        <v>92</v>
      </c>
      <c r="H45" s="448">
        <f>SUMIFS(BasisProgramma[52],BasisProgramma[Element],$B45,BasisProgramma[Handeling],$C45)</f>
        <v>46</v>
      </c>
      <c r="I45" s="461">
        <f>SUMIFS(BasisProgramma[4],BasisProgramma[Element],$B45,BasisProgramma[Handeling],$C45)</f>
        <v>0</v>
      </c>
      <c r="J45" s="449"/>
    </row>
    <row r="46" spans="2:10" ht="12.75" thickBot="1" x14ac:dyDescent="0.25">
      <c r="B46" s="459" t="s">
        <v>468</v>
      </c>
      <c r="C46" s="424" t="s">
        <v>461</v>
      </c>
      <c r="D46" s="456">
        <f>SUMIFS(BasisProgramma[255],BasisProgramma[Element],$B46,BasisProgramma[Handeling],$C46)</f>
        <v>12</v>
      </c>
      <c r="E46" s="457">
        <f>SUMIFS(BasisProgramma[204],BasisProgramma[Element],$B46,BasisProgramma[Handeling],$C46)</f>
        <v>12</v>
      </c>
      <c r="F46" s="457">
        <f>SUMIFS(BasisProgramma[156],BasisProgramma[Element],$B46,BasisProgramma[Handeling],$C46)</f>
        <v>12</v>
      </c>
      <c r="G46" s="457">
        <f>SUMIFS(BasisProgramma[104],BasisProgramma[Element],$B46,BasisProgramma[Handeling],$C46)</f>
        <v>12</v>
      </c>
      <c r="H46" s="457">
        <f>SUMIFS(BasisProgramma[52],BasisProgramma[Element],$B46,BasisProgramma[Handeling],$C46)</f>
        <v>6</v>
      </c>
      <c r="I46" s="463">
        <f>SUMIFS(BasisProgramma[4],BasisProgramma[Element],$B46,BasisProgramma[Handeling],$C46)</f>
        <v>4</v>
      </c>
      <c r="J46" s="458"/>
    </row>
  </sheetData>
  <sheetProtection algorithmName="SHA-512" hashValue="yNUSI368dtfft8dG1M1gsZ9a1h2qdfYzYcdXDO+eu1Gh1dUgZr/BzpR/5VWHkOQyQRp6Wk0BLVeDHOXUHiwfGw==" saltValue="SN4qx2XQNtvLkUKjve4mvg==" spinCount="100000" sheet="1" objects="1" scenarios="1"/>
  <mergeCells count="1">
    <mergeCell ref="B1:J1"/>
  </mergeCells>
  <printOptions horizontalCentered="1" verticalCentered="1"/>
  <pageMargins left="0.70866141732283472" right="0.70866141732283472" top="0.74803149606299213" bottom="0.74803149606299213" header="0.31496062992125984" footer="0.31496062992125984"/>
  <pageSetup paperSize="9" scale="78" orientation="portrait" horizontalDpi="0" verticalDpi="0" r:id="rId1"/>
  <headerFooter>
    <oddHeader>&amp;L&amp;9&amp;K04-047Werkprogramma - Restauratieve ruimte&amp;R&amp;G</oddHeader>
    <oddFooter>&amp;L&amp;9&amp;K04-049Offerteaanvraag EU Openbare aanbesteding Schoonmaakonderhoud&amp;C&amp;9&amp;K04-049 8 april 2022&amp;R&amp;9&amp;K04-049Blad &amp;P van &amp;N</oddFooter>
  </headerFooter>
  <ignoredErrors>
    <ignoredError sqref="D3" numberStoredAsText="1"/>
    <ignoredError sqref="D4:D46" unlockedFormula="1"/>
  </ignoredError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FBB89-E02E-4A5D-A20C-1122B8B04803}">
  <sheetPr codeName="Blad16">
    <tabColor theme="7" tint="0.59999389629810485"/>
    <pageSetUpPr fitToPage="1"/>
  </sheetPr>
  <dimension ref="B1:J54"/>
  <sheetViews>
    <sheetView showGridLines="0" showRowColHeaders="0" workbookViewId="0">
      <pane ySplit="3" topLeftCell="A27" activePane="bottomLeft" state="frozen"/>
      <selection activeCell="D28" sqref="D28"/>
      <selection pane="bottomLeft" activeCell="D4" sqref="D4:E54"/>
    </sheetView>
  </sheetViews>
  <sheetFormatPr defaultColWidth="9.140625" defaultRowHeight="12" x14ac:dyDescent="0.2"/>
  <cols>
    <col min="1" max="1" width="9.140625" style="7"/>
    <col min="2" max="2" width="44.7109375" style="7" bestFit="1" customWidth="1"/>
    <col min="3" max="3" width="45.85546875" style="7" bestFit="1" customWidth="1"/>
    <col min="4" max="5" width="9.140625" style="84"/>
    <col min="6" max="9" width="9.140625" style="84" hidden="1" customWidth="1"/>
    <col min="10" max="10" width="1.7109375" style="84" customWidth="1"/>
    <col min="11" max="16384" width="9.140625" style="7"/>
  </cols>
  <sheetData>
    <row r="1" spans="2:10" ht="25.5" customHeight="1" thickBot="1" x14ac:dyDescent="0.25">
      <c r="B1" s="603" t="s">
        <v>761</v>
      </c>
      <c r="C1" s="604"/>
      <c r="D1" s="604"/>
      <c r="E1" s="604"/>
      <c r="F1" s="604"/>
      <c r="G1" s="604"/>
      <c r="H1" s="604"/>
      <c r="I1" s="604"/>
      <c r="J1" s="605"/>
    </row>
    <row r="2" spans="2:10" ht="12.75" thickBot="1" x14ac:dyDescent="0.25"/>
    <row r="3" spans="2:10" ht="12.75" thickBot="1" x14ac:dyDescent="0.25">
      <c r="B3" s="412" t="s">
        <v>451</v>
      </c>
      <c r="C3" s="413" t="s">
        <v>388</v>
      </c>
      <c r="D3" s="414" t="s">
        <v>751</v>
      </c>
      <c r="E3" s="415" t="s">
        <v>752</v>
      </c>
      <c r="F3" s="416" t="s">
        <v>753</v>
      </c>
      <c r="G3" s="416" t="s">
        <v>754</v>
      </c>
      <c r="H3" s="416" t="s">
        <v>755</v>
      </c>
      <c r="I3" s="428" t="s">
        <v>756</v>
      </c>
      <c r="J3" s="417"/>
    </row>
    <row r="4" spans="2:10" x14ac:dyDescent="0.2">
      <c r="B4" s="422" t="s">
        <v>494</v>
      </c>
      <c r="C4" s="79" t="s">
        <v>427</v>
      </c>
      <c r="D4" s="447">
        <f>SUMIFS(BasisProgramma[255],BasisProgramma[Element],$B4,BasisProgramma[Handeling],$C4)</f>
        <v>255</v>
      </c>
      <c r="E4" s="448">
        <f>SUMIFS(BasisProgramma[204],BasisProgramma[Element],$B4,BasisProgramma[Handeling],$C4)</f>
        <v>204</v>
      </c>
      <c r="F4" s="448">
        <f>SUMIFS(BasisProgramma[156],BasisProgramma[Element],$B4,BasisProgramma[Handeling],$C4)</f>
        <v>156</v>
      </c>
      <c r="G4" s="448">
        <f>SUMIFS(BasisProgramma[104],BasisProgramma[Element],$B4,BasisProgramma[Handeling],$C4)</f>
        <v>104</v>
      </c>
      <c r="H4" s="448">
        <f>SUMIFS(BasisProgramma[52],BasisProgramma[Element],$B4,BasisProgramma[Handeling],$C4)</f>
        <v>52</v>
      </c>
      <c r="I4" s="461">
        <f>SUMIFS(BasisProgramma[4],BasisProgramma[Element],$B4,BasisProgramma[Handeling],$C4)</f>
        <v>4</v>
      </c>
      <c r="J4" s="449"/>
    </row>
    <row r="5" spans="2:10" x14ac:dyDescent="0.2">
      <c r="B5" s="422" t="s">
        <v>494</v>
      </c>
      <c r="C5" s="79" t="s">
        <v>428</v>
      </c>
      <c r="D5" s="447">
        <f>SUMIFS(BasisProgramma[255],BasisProgramma[Element],$B5,BasisProgramma[Handeling],$C5)</f>
        <v>203</v>
      </c>
      <c r="E5" s="448">
        <f>SUMIFS(BasisProgramma[204],BasisProgramma[Element],$B5,BasisProgramma[Handeling],$C5)</f>
        <v>152</v>
      </c>
      <c r="F5" s="448">
        <f>SUMIFS(BasisProgramma[156],BasisProgramma[Element],$B5,BasisProgramma[Handeling],$C5)</f>
        <v>104</v>
      </c>
      <c r="G5" s="448">
        <f>SUMIFS(BasisProgramma[104],BasisProgramma[Element],$B5,BasisProgramma[Handeling],$C5)</f>
        <v>92</v>
      </c>
      <c r="H5" s="448">
        <f>SUMIFS(BasisProgramma[52],BasisProgramma[Element],$B5,BasisProgramma[Handeling],$C5)</f>
        <v>46</v>
      </c>
      <c r="I5" s="461">
        <f>SUMIFS(BasisProgramma[4],BasisProgramma[Element],$B5,BasisProgramma[Handeling],$C5)</f>
        <v>0</v>
      </c>
      <c r="J5" s="449"/>
    </row>
    <row r="6" spans="2:10" x14ac:dyDescent="0.2">
      <c r="B6" s="422" t="s">
        <v>494</v>
      </c>
      <c r="C6" s="79" t="s">
        <v>429</v>
      </c>
      <c r="D6" s="447">
        <f>SUMIFS(BasisProgramma[255],BasisProgramma[Element],$B6,BasisProgramma[Handeling],$C6)</f>
        <v>52</v>
      </c>
      <c r="E6" s="448">
        <f>SUMIFS(BasisProgramma[204],BasisProgramma[Element],$B6,BasisProgramma[Handeling],$C6)</f>
        <v>52</v>
      </c>
      <c r="F6" s="448">
        <f>SUMIFS(BasisProgramma[156],BasisProgramma[Element],$B6,BasisProgramma[Handeling],$C6)</f>
        <v>52</v>
      </c>
      <c r="G6" s="448">
        <f>SUMIFS(BasisProgramma[104],BasisProgramma[Element],$B6,BasisProgramma[Handeling],$C6)</f>
        <v>12</v>
      </c>
      <c r="H6" s="448">
        <f>SUMIFS(BasisProgramma[52],BasisProgramma[Element],$B6,BasisProgramma[Handeling],$C6)</f>
        <v>6</v>
      </c>
      <c r="I6" s="461">
        <f>SUMIFS(BasisProgramma[4],BasisProgramma[Element],$B6,BasisProgramma[Handeling],$C6)</f>
        <v>4</v>
      </c>
      <c r="J6" s="449"/>
    </row>
    <row r="7" spans="2:10" x14ac:dyDescent="0.2">
      <c r="B7" s="422" t="s">
        <v>471</v>
      </c>
      <c r="C7" s="79" t="s">
        <v>472</v>
      </c>
      <c r="D7" s="447">
        <f>SUMIFS(BasisProgramma[255],BasisProgramma[Element],$B7,BasisProgramma[Handeling],$C7)</f>
        <v>203</v>
      </c>
      <c r="E7" s="448">
        <f>SUMIFS(BasisProgramma[204],BasisProgramma[Element],$B7,BasisProgramma[Handeling],$C7)</f>
        <v>152</v>
      </c>
      <c r="F7" s="448">
        <f>SUMIFS(BasisProgramma[156],BasisProgramma[Element],$B7,BasisProgramma[Handeling],$C7)</f>
        <v>104</v>
      </c>
      <c r="G7" s="448">
        <f>SUMIFS(BasisProgramma[104],BasisProgramma[Element],$B7,BasisProgramma[Handeling],$C7)</f>
        <v>52</v>
      </c>
      <c r="H7" s="448">
        <f>SUMIFS(BasisProgramma[52],BasisProgramma[Element],$B7,BasisProgramma[Handeling],$C7)</f>
        <v>40</v>
      </c>
      <c r="I7" s="461">
        <f>SUMIFS(BasisProgramma[4],BasisProgramma[Element],$B7,BasisProgramma[Handeling],$C7)</f>
        <v>0</v>
      </c>
      <c r="J7" s="449"/>
    </row>
    <row r="8" spans="2:10" x14ac:dyDescent="0.2">
      <c r="B8" s="422" t="s">
        <v>471</v>
      </c>
      <c r="C8" s="79" t="s">
        <v>429</v>
      </c>
      <c r="D8" s="447">
        <f>SUMIFS(BasisProgramma[255],BasisProgramma[Element],$B8,BasisProgramma[Handeling],$C8)</f>
        <v>52</v>
      </c>
      <c r="E8" s="448">
        <f>SUMIFS(BasisProgramma[204],BasisProgramma[Element],$B8,BasisProgramma[Handeling],$C8)</f>
        <v>52</v>
      </c>
      <c r="F8" s="448">
        <f>SUMIFS(BasisProgramma[156],BasisProgramma[Element],$B8,BasisProgramma[Handeling],$C8)</f>
        <v>52</v>
      </c>
      <c r="G8" s="448">
        <f>SUMIFS(BasisProgramma[104],BasisProgramma[Element],$B8,BasisProgramma[Handeling],$C8)</f>
        <v>52</v>
      </c>
      <c r="H8" s="448">
        <f>SUMIFS(BasisProgramma[52],BasisProgramma[Element],$B8,BasisProgramma[Handeling],$C8)</f>
        <v>12</v>
      </c>
      <c r="I8" s="461">
        <f>SUMIFS(BasisProgramma[4],BasisProgramma[Element],$B8,BasisProgramma[Handeling],$C8)</f>
        <v>4</v>
      </c>
      <c r="J8" s="449"/>
    </row>
    <row r="9" spans="2:10" x14ac:dyDescent="0.2">
      <c r="B9" s="422" t="s">
        <v>434</v>
      </c>
      <c r="C9" s="79" t="s">
        <v>435</v>
      </c>
      <c r="D9" s="447">
        <f>SUMIFS(BasisProgramma[255],BasisProgramma[Element],$B9,BasisProgramma[Handeling],$C9)</f>
        <v>203</v>
      </c>
      <c r="E9" s="448">
        <f>SUMIFS(BasisProgramma[204],BasisProgramma[Element],$B9,BasisProgramma[Handeling],$C9)</f>
        <v>152</v>
      </c>
      <c r="F9" s="448">
        <f>SUMIFS(BasisProgramma[156],BasisProgramma[Element],$B9,BasisProgramma[Handeling],$C9)</f>
        <v>104</v>
      </c>
      <c r="G9" s="448">
        <f>SUMIFS(BasisProgramma[104],BasisProgramma[Element],$B9,BasisProgramma[Handeling],$C9)</f>
        <v>98</v>
      </c>
      <c r="H9" s="448">
        <f>SUMIFS(BasisProgramma[52],BasisProgramma[Element],$B9,BasisProgramma[Handeling],$C9)</f>
        <v>46</v>
      </c>
      <c r="I9" s="461">
        <f>SUMIFS(BasisProgramma[4],BasisProgramma[Element],$B9,BasisProgramma[Handeling],$C9)</f>
        <v>0</v>
      </c>
      <c r="J9" s="449"/>
    </row>
    <row r="10" spans="2:10" x14ac:dyDescent="0.2">
      <c r="B10" s="422" t="s">
        <v>434</v>
      </c>
      <c r="C10" s="79" t="s">
        <v>429</v>
      </c>
      <c r="D10" s="447">
        <f>SUMIFS(BasisProgramma[255],BasisProgramma[Element],$B10,BasisProgramma[Handeling],$C10)</f>
        <v>52</v>
      </c>
      <c r="E10" s="448">
        <f>SUMIFS(BasisProgramma[204],BasisProgramma[Element],$B10,BasisProgramma[Handeling],$C10)</f>
        <v>52</v>
      </c>
      <c r="F10" s="448">
        <f>SUMIFS(BasisProgramma[156],BasisProgramma[Element],$B10,BasisProgramma[Handeling],$C10)</f>
        <v>52</v>
      </c>
      <c r="G10" s="448">
        <f>SUMIFS(BasisProgramma[104],BasisProgramma[Element],$B10,BasisProgramma[Handeling],$C10)</f>
        <v>12</v>
      </c>
      <c r="H10" s="448">
        <f>SUMIFS(BasisProgramma[52],BasisProgramma[Element],$B10,BasisProgramma[Handeling],$C10)</f>
        <v>12</v>
      </c>
      <c r="I10" s="461">
        <f>SUMIFS(BasisProgramma[4],BasisProgramma[Element],$B10,BasisProgramma[Handeling],$C10)</f>
        <v>4</v>
      </c>
      <c r="J10" s="449"/>
    </row>
    <row r="11" spans="2:10" x14ac:dyDescent="0.2">
      <c r="B11" s="422" t="s">
        <v>473</v>
      </c>
      <c r="C11" s="79" t="s">
        <v>441</v>
      </c>
      <c r="D11" s="447">
        <f>SUMIFS(BasisProgramma[255],BasisProgramma[Element],$B11,BasisProgramma[Handeling],$C11)</f>
        <v>255</v>
      </c>
      <c r="E11" s="448">
        <f>SUMIFS(BasisProgramma[204],BasisProgramma[Element],$B11,BasisProgramma[Handeling],$C11)</f>
        <v>204</v>
      </c>
      <c r="F11" s="448">
        <f>SUMIFS(BasisProgramma[156],BasisProgramma[Element],$B11,BasisProgramma[Handeling],$C11)</f>
        <v>156</v>
      </c>
      <c r="G11" s="448">
        <f>SUMIFS(BasisProgramma[104],BasisProgramma[Element],$B11,BasisProgramma[Handeling],$C11)</f>
        <v>104</v>
      </c>
      <c r="H11" s="448">
        <f>SUMIFS(BasisProgramma[52],BasisProgramma[Element],$B11,BasisProgramma[Handeling],$C11)</f>
        <v>52</v>
      </c>
      <c r="I11" s="461">
        <f>SUMIFS(BasisProgramma[4],BasisProgramma[Element],$B11,BasisProgramma[Handeling],$C11)</f>
        <v>4</v>
      </c>
      <c r="J11" s="449"/>
    </row>
    <row r="12" spans="2:10" x14ac:dyDescent="0.2">
      <c r="B12" s="422" t="s">
        <v>730</v>
      </c>
      <c r="C12" s="79" t="s">
        <v>490</v>
      </c>
      <c r="D12" s="447">
        <f>SUMIFS(BasisProgramma[255],BasisProgramma[Element],$B12,BasisProgramma[Handeling],$C12)</f>
        <v>203</v>
      </c>
      <c r="E12" s="448">
        <f>SUMIFS(BasisProgramma[204],BasisProgramma[Element],$B12,BasisProgramma[Handeling],$C12)</f>
        <v>152</v>
      </c>
      <c r="F12" s="448">
        <f>SUMIFS(BasisProgramma[156],BasisProgramma[Element],$B12,BasisProgramma[Handeling],$C12)</f>
        <v>104</v>
      </c>
      <c r="G12" s="448">
        <f>SUMIFS(BasisProgramma[104],BasisProgramma[Element],$B12,BasisProgramma[Handeling],$C12)</f>
        <v>52</v>
      </c>
      <c r="H12" s="448">
        <f>SUMIFS(BasisProgramma[52],BasisProgramma[Element],$B12,BasisProgramma[Handeling],$C12)</f>
        <v>0</v>
      </c>
      <c r="I12" s="461">
        <f>SUMIFS(BasisProgramma[4],BasisProgramma[Element],$B12,BasisProgramma[Handeling],$C12)</f>
        <v>0</v>
      </c>
      <c r="J12" s="449"/>
    </row>
    <row r="13" spans="2:10" x14ac:dyDescent="0.2">
      <c r="B13" s="422" t="s">
        <v>730</v>
      </c>
      <c r="C13" s="79" t="s">
        <v>732</v>
      </c>
      <c r="D13" s="447">
        <f>SUMIFS(BasisProgramma[255],BasisProgramma[Element],$B13,BasisProgramma[Handeling],$C13)</f>
        <v>52</v>
      </c>
      <c r="E13" s="448">
        <f>SUMIFS(BasisProgramma[204],BasisProgramma[Element],$B13,BasisProgramma[Handeling],$C13)</f>
        <v>52</v>
      </c>
      <c r="F13" s="448">
        <f>SUMIFS(BasisProgramma[156],BasisProgramma[Element],$B13,BasisProgramma[Handeling],$C13)</f>
        <v>52</v>
      </c>
      <c r="G13" s="448">
        <f>SUMIFS(BasisProgramma[104],BasisProgramma[Element],$B13,BasisProgramma[Handeling],$C13)</f>
        <v>52</v>
      </c>
      <c r="H13" s="448">
        <f>SUMIFS(BasisProgramma[52],BasisProgramma[Element],$B13,BasisProgramma[Handeling],$C13)</f>
        <v>52</v>
      </c>
      <c r="I13" s="461">
        <f>SUMIFS(BasisProgramma[4],BasisProgramma[Element],$B13,BasisProgramma[Handeling],$C13)</f>
        <v>4</v>
      </c>
      <c r="J13" s="449"/>
    </row>
    <row r="14" spans="2:10" x14ac:dyDescent="0.2">
      <c r="B14" s="422" t="s">
        <v>731</v>
      </c>
      <c r="C14" s="79" t="s">
        <v>733</v>
      </c>
      <c r="D14" s="447">
        <f>SUMIFS(BasisProgramma[255],BasisProgramma[Element],$B14,BasisProgramma[Handeling],$C14)</f>
        <v>203</v>
      </c>
      <c r="E14" s="448">
        <f>SUMIFS(BasisProgramma[204],BasisProgramma[Element],$B14,BasisProgramma[Handeling],$C14)</f>
        <v>152</v>
      </c>
      <c r="F14" s="448">
        <f>SUMIFS(BasisProgramma[156],BasisProgramma[Element],$B14,BasisProgramma[Handeling],$C14)</f>
        <v>104</v>
      </c>
      <c r="G14" s="448">
        <f>SUMIFS(BasisProgramma[104],BasisProgramma[Element],$B14,BasisProgramma[Handeling],$C14)</f>
        <v>52</v>
      </c>
      <c r="H14" s="448">
        <f>SUMIFS(BasisProgramma[52],BasisProgramma[Element],$B14,BasisProgramma[Handeling],$C14)</f>
        <v>0</v>
      </c>
      <c r="I14" s="461">
        <f>SUMIFS(BasisProgramma[4],BasisProgramma[Element],$B14,BasisProgramma[Handeling],$C14)</f>
        <v>0</v>
      </c>
      <c r="J14" s="449"/>
    </row>
    <row r="15" spans="2:10" x14ac:dyDescent="0.2">
      <c r="B15" s="422" t="s">
        <v>731</v>
      </c>
      <c r="C15" s="79" t="s">
        <v>736</v>
      </c>
      <c r="D15" s="447">
        <f>SUMIFS(BasisProgramma[255],BasisProgramma[Element],$B15,BasisProgramma[Handeling],$C15)</f>
        <v>40</v>
      </c>
      <c r="E15" s="448">
        <f>SUMIFS(BasisProgramma[204],BasisProgramma[Element],$B15,BasisProgramma[Handeling],$C15)</f>
        <v>40</v>
      </c>
      <c r="F15" s="448">
        <f>SUMIFS(BasisProgramma[156],BasisProgramma[Element],$B15,BasisProgramma[Handeling],$C15)</f>
        <v>40</v>
      </c>
      <c r="G15" s="448">
        <f>SUMIFS(BasisProgramma[104],BasisProgramma[Element],$B15,BasisProgramma[Handeling],$C15)</f>
        <v>40</v>
      </c>
      <c r="H15" s="448">
        <f>SUMIFS(BasisProgramma[52],BasisProgramma[Element],$B15,BasisProgramma[Handeling],$C15)</f>
        <v>40</v>
      </c>
      <c r="I15" s="461">
        <f>SUMIFS(BasisProgramma[4],BasisProgramma[Element],$B15,BasisProgramma[Handeling],$C15)</f>
        <v>0</v>
      </c>
      <c r="J15" s="449"/>
    </row>
    <row r="16" spans="2:10" x14ac:dyDescent="0.2">
      <c r="B16" s="422" t="s">
        <v>731</v>
      </c>
      <c r="C16" s="79" t="s">
        <v>737</v>
      </c>
      <c r="D16" s="447">
        <f>SUMIFS(BasisProgramma[255],BasisProgramma[Element],$B16,BasisProgramma[Handeling],$C16)</f>
        <v>12</v>
      </c>
      <c r="E16" s="448">
        <f>SUMIFS(BasisProgramma[204],BasisProgramma[Element],$B16,BasisProgramma[Handeling],$C16)</f>
        <v>12</v>
      </c>
      <c r="F16" s="448">
        <f>SUMIFS(BasisProgramma[156],BasisProgramma[Element],$B16,BasisProgramma[Handeling],$C16)</f>
        <v>12</v>
      </c>
      <c r="G16" s="448">
        <f>SUMIFS(BasisProgramma[104],BasisProgramma[Element],$B16,BasisProgramma[Handeling],$C16)</f>
        <v>12</v>
      </c>
      <c r="H16" s="448">
        <f>SUMIFS(BasisProgramma[52],BasisProgramma[Element],$B16,BasisProgramma[Handeling],$C16)</f>
        <v>12</v>
      </c>
      <c r="I16" s="461">
        <f>SUMIFS(BasisProgramma[4],BasisProgramma[Element],$B16,BasisProgramma[Handeling],$C16)</f>
        <v>4</v>
      </c>
      <c r="J16" s="449"/>
    </row>
    <row r="17" spans="2:10" x14ac:dyDescent="0.2">
      <c r="B17" s="54" t="s">
        <v>721</v>
      </c>
      <c r="C17" s="79" t="s">
        <v>467</v>
      </c>
      <c r="D17" s="447">
        <f>SUMIFS(BasisProgramma[255],BasisProgramma[Element],$B17,BasisProgramma[Handeling],$C17)</f>
        <v>255</v>
      </c>
      <c r="E17" s="448">
        <f>SUMIFS(BasisProgramma[204],BasisProgramma[Element],$B17,BasisProgramma[Handeling],$C17)</f>
        <v>204</v>
      </c>
      <c r="F17" s="448">
        <f>SUMIFS(BasisProgramma[156],BasisProgramma[Element],$B17,BasisProgramma[Handeling],$C17)</f>
        <v>156</v>
      </c>
      <c r="G17" s="448">
        <f>SUMIFS(BasisProgramma[104],BasisProgramma[Element],$B17,BasisProgramma[Handeling],$C17)</f>
        <v>104</v>
      </c>
      <c r="H17" s="448">
        <f>SUMIFS(BasisProgramma[52],BasisProgramma[Element],$B17,BasisProgramma[Handeling],$C17)</f>
        <v>52</v>
      </c>
      <c r="I17" s="461">
        <f>SUMIFS(BasisProgramma[4],BasisProgramma[Element],$B17,BasisProgramma[Handeling],$C17)</f>
        <v>4</v>
      </c>
      <c r="J17" s="449"/>
    </row>
    <row r="18" spans="2:10" x14ac:dyDescent="0.2">
      <c r="B18" s="54" t="s">
        <v>721</v>
      </c>
      <c r="C18" s="79" t="s">
        <v>452</v>
      </c>
      <c r="D18" s="447">
        <f>SUMIFS(BasisProgramma[255],BasisProgramma[Element],$B18,BasisProgramma[Handeling],$C18)</f>
        <v>255</v>
      </c>
      <c r="E18" s="448">
        <f>SUMIFS(BasisProgramma[204],BasisProgramma[Element],$B18,BasisProgramma[Handeling],$C18)</f>
        <v>204</v>
      </c>
      <c r="F18" s="448">
        <f>SUMIFS(BasisProgramma[156],BasisProgramma[Element],$B18,BasisProgramma[Handeling],$C18)</f>
        <v>156</v>
      </c>
      <c r="G18" s="448">
        <f>SUMIFS(BasisProgramma[104],BasisProgramma[Element],$B18,BasisProgramma[Handeling],$C18)</f>
        <v>104</v>
      </c>
      <c r="H18" s="448">
        <f>SUMIFS(BasisProgramma[52],BasisProgramma[Element],$B18,BasisProgramma[Handeling],$C18)</f>
        <v>52</v>
      </c>
      <c r="I18" s="461">
        <f>SUMIFS(BasisProgramma[4],BasisProgramma[Element],$B18,BasisProgramma[Handeling],$C18)</f>
        <v>4</v>
      </c>
      <c r="J18" s="449"/>
    </row>
    <row r="19" spans="2:10" x14ac:dyDescent="0.2">
      <c r="B19" s="54" t="s">
        <v>722</v>
      </c>
      <c r="C19" s="55" t="s">
        <v>734</v>
      </c>
      <c r="D19" s="447">
        <f>SUMIFS(BasisProgramma[255],BasisProgramma[Element],$B19,BasisProgramma[Handeling],$C19)</f>
        <v>255</v>
      </c>
      <c r="E19" s="448">
        <f>SUMIFS(BasisProgramma[204],BasisProgramma[Element],$B19,BasisProgramma[Handeling],$C19)</f>
        <v>204</v>
      </c>
      <c r="F19" s="448">
        <f>SUMIFS(BasisProgramma[156],BasisProgramma[Element],$B19,BasisProgramma[Handeling],$C19)</f>
        <v>156</v>
      </c>
      <c r="G19" s="448">
        <f>SUMIFS(BasisProgramma[104],BasisProgramma[Element],$B19,BasisProgramma[Handeling],$C19)</f>
        <v>104</v>
      </c>
      <c r="H19" s="448">
        <f>SUMIFS(BasisProgramma[52],BasisProgramma[Element],$B19,BasisProgramma[Handeling],$C19)</f>
        <v>52</v>
      </c>
      <c r="I19" s="461">
        <f>SUMIFS(BasisProgramma[4],BasisProgramma[Element],$B19,BasisProgramma[Handeling],$C19)</f>
        <v>4</v>
      </c>
      <c r="J19" s="449"/>
    </row>
    <row r="20" spans="2:10" x14ac:dyDescent="0.2">
      <c r="B20" s="422" t="s">
        <v>476</v>
      </c>
      <c r="C20" s="79" t="s">
        <v>441</v>
      </c>
      <c r="D20" s="447">
        <f>SUMIFS(BasisProgramma[255],BasisProgramma[Element],$B20,BasisProgramma[Handeling],$C20)</f>
        <v>52</v>
      </c>
      <c r="E20" s="448">
        <f>SUMIFS(BasisProgramma[204],BasisProgramma[Element],$B20,BasisProgramma[Handeling],$C20)</f>
        <v>52</v>
      </c>
      <c r="F20" s="448">
        <f>SUMIFS(BasisProgramma[156],BasisProgramma[Element],$B20,BasisProgramma[Handeling],$C20)</f>
        <v>52</v>
      </c>
      <c r="G20" s="448">
        <f>SUMIFS(BasisProgramma[104],BasisProgramma[Element],$B20,BasisProgramma[Handeling],$C20)</f>
        <v>12</v>
      </c>
      <c r="H20" s="448">
        <f>SUMIFS(BasisProgramma[52],BasisProgramma[Element],$B20,BasisProgramma[Handeling],$C20)</f>
        <v>12</v>
      </c>
      <c r="I20" s="461">
        <f>SUMIFS(BasisProgramma[4],BasisProgramma[Element],$B20,BasisProgramma[Handeling],$C20)</f>
        <v>4</v>
      </c>
      <c r="J20" s="449"/>
    </row>
    <row r="21" spans="2:10" x14ac:dyDescent="0.2">
      <c r="B21" s="422" t="s">
        <v>442</v>
      </c>
      <c r="C21" s="79" t="s">
        <v>443</v>
      </c>
      <c r="D21" s="447">
        <f>SUMIFS(BasisProgramma[255],BasisProgramma[Element],$B21,BasisProgramma[Handeling],$C21)</f>
        <v>2</v>
      </c>
      <c r="E21" s="448">
        <f>SUMIFS(BasisProgramma[204],BasisProgramma[Element],$B21,BasisProgramma[Handeling],$C21)</f>
        <v>2</v>
      </c>
      <c r="F21" s="448">
        <f>SUMIFS(BasisProgramma[156],BasisProgramma[Element],$B21,BasisProgramma[Handeling],$C21)</f>
        <v>2</v>
      </c>
      <c r="G21" s="448">
        <f>SUMIFS(BasisProgramma[104],BasisProgramma[Element],$B21,BasisProgramma[Handeling],$C21)</f>
        <v>2</v>
      </c>
      <c r="H21" s="448">
        <f>SUMIFS(BasisProgramma[52],BasisProgramma[Element],$B21,BasisProgramma[Handeling],$C21)</f>
        <v>2</v>
      </c>
      <c r="I21" s="461">
        <f>SUMIFS(BasisProgramma[4],BasisProgramma[Element],$B21,BasisProgramma[Handeling],$C21)</f>
        <v>2</v>
      </c>
      <c r="J21" s="449"/>
    </row>
    <row r="22" spans="2:10" x14ac:dyDescent="0.2">
      <c r="B22" s="54" t="s">
        <v>726</v>
      </c>
      <c r="C22" s="79" t="s">
        <v>467</v>
      </c>
      <c r="D22" s="447">
        <f>SUMIFS(BasisProgramma[255],BasisProgramma[Element],$B22,BasisProgramma[Handeling],$C22)</f>
        <v>255</v>
      </c>
      <c r="E22" s="448">
        <f>SUMIFS(BasisProgramma[204],BasisProgramma[Element],$B22,BasisProgramma[Handeling],$C22)</f>
        <v>204</v>
      </c>
      <c r="F22" s="448">
        <f>SUMIFS(BasisProgramma[156],BasisProgramma[Element],$B22,BasisProgramma[Handeling],$C22)</f>
        <v>156</v>
      </c>
      <c r="G22" s="448">
        <f>SUMIFS(BasisProgramma[104],BasisProgramma[Element],$B22,BasisProgramma[Handeling],$C22)</f>
        <v>104</v>
      </c>
      <c r="H22" s="448">
        <f>SUMIFS(BasisProgramma[52],BasisProgramma[Element],$B22,BasisProgramma[Handeling],$C22)</f>
        <v>52</v>
      </c>
      <c r="I22" s="461">
        <f>SUMIFS(BasisProgramma[4],BasisProgramma[Element],$B22,BasisProgramma[Handeling],$C22)</f>
        <v>4</v>
      </c>
      <c r="J22" s="449"/>
    </row>
    <row r="23" spans="2:10" x14ac:dyDescent="0.2">
      <c r="B23" s="54" t="s">
        <v>726</v>
      </c>
      <c r="C23" s="79" t="s">
        <v>735</v>
      </c>
      <c r="D23" s="447">
        <f>SUMIFS(BasisProgramma[255],BasisProgramma[Element],$B23,BasisProgramma[Handeling],$C23)</f>
        <v>203</v>
      </c>
      <c r="E23" s="448">
        <f>SUMIFS(BasisProgramma[204],BasisProgramma[Element],$B23,BasisProgramma[Handeling],$C23)</f>
        <v>152</v>
      </c>
      <c r="F23" s="448">
        <f>SUMIFS(BasisProgramma[156],BasisProgramma[Element],$B23,BasisProgramma[Handeling],$C23)</f>
        <v>104</v>
      </c>
      <c r="G23" s="448">
        <f>SUMIFS(BasisProgramma[104],BasisProgramma[Element],$B23,BasisProgramma[Handeling],$C23)</f>
        <v>52</v>
      </c>
      <c r="H23" s="448">
        <f>SUMIFS(BasisProgramma[52],BasisProgramma[Element],$B23,BasisProgramma[Handeling],$C23)</f>
        <v>0</v>
      </c>
      <c r="I23" s="461">
        <f>SUMIFS(BasisProgramma[4],BasisProgramma[Element],$B23,BasisProgramma[Handeling],$C23)</f>
        <v>0</v>
      </c>
      <c r="J23" s="449"/>
    </row>
    <row r="24" spans="2:10" x14ac:dyDescent="0.2">
      <c r="B24" s="54" t="s">
        <v>726</v>
      </c>
      <c r="C24" s="55" t="s">
        <v>452</v>
      </c>
      <c r="D24" s="453">
        <f>SUMIFS(BasisProgramma[255],BasisProgramma[Element],$B24,BasisProgramma[Handeling],$C24)</f>
        <v>52</v>
      </c>
      <c r="E24" s="454">
        <f>SUMIFS(BasisProgramma[204],BasisProgramma[Element],$B24,BasisProgramma[Handeling],$C24)</f>
        <v>52</v>
      </c>
      <c r="F24" s="454">
        <f>SUMIFS(BasisProgramma[156],BasisProgramma[Element],$B24,BasisProgramma[Handeling],$C24)</f>
        <v>52</v>
      </c>
      <c r="G24" s="454">
        <f>SUMIFS(BasisProgramma[104],BasisProgramma[Element],$B24,BasisProgramma[Handeling],$C24)</f>
        <v>52</v>
      </c>
      <c r="H24" s="454">
        <f>SUMIFS(BasisProgramma[52],BasisProgramma[Element],$B24,BasisProgramma[Handeling],$C24)</f>
        <v>52</v>
      </c>
      <c r="I24" s="464">
        <f>SUMIFS(BasisProgramma[4],BasisProgramma[Element],$B24,BasisProgramma[Handeling],$C24)</f>
        <v>4</v>
      </c>
      <c r="J24" s="455"/>
    </row>
    <row r="25" spans="2:10" x14ac:dyDescent="0.2">
      <c r="B25" s="422" t="s">
        <v>477</v>
      </c>
      <c r="C25" s="79" t="s">
        <v>441</v>
      </c>
      <c r="D25" s="447">
        <f>SUMIFS(BasisProgramma[255],BasisProgramma[Element],$B25,BasisProgramma[Handeling],$C25)</f>
        <v>255</v>
      </c>
      <c r="E25" s="448">
        <f>SUMIFS(BasisProgramma[204],BasisProgramma[Element],$B25,BasisProgramma[Handeling],$C25)</f>
        <v>204</v>
      </c>
      <c r="F25" s="448">
        <f>SUMIFS(BasisProgramma[156],BasisProgramma[Element],$B25,BasisProgramma[Handeling],$C25)</f>
        <v>156</v>
      </c>
      <c r="G25" s="448">
        <f>SUMIFS(BasisProgramma[104],BasisProgramma[Element],$B25,BasisProgramma[Handeling],$C25)</f>
        <v>104</v>
      </c>
      <c r="H25" s="448">
        <f>SUMIFS(BasisProgramma[52],BasisProgramma[Element],$B25,BasisProgramma[Handeling],$C25)</f>
        <v>52</v>
      </c>
      <c r="I25" s="461">
        <f>SUMIFS(BasisProgramma[4],BasisProgramma[Element],$B25,BasisProgramma[Handeling],$C25)</f>
        <v>4</v>
      </c>
      <c r="J25" s="449"/>
    </row>
    <row r="26" spans="2:10" x14ac:dyDescent="0.2">
      <c r="B26" s="422" t="s">
        <v>501</v>
      </c>
      <c r="C26" s="79" t="s">
        <v>441</v>
      </c>
      <c r="D26" s="447">
        <f>SUMIFS(BasisProgramma[255],BasisProgramma[Element],$B26,BasisProgramma[Handeling],$C26)</f>
        <v>52</v>
      </c>
      <c r="E26" s="448">
        <f>SUMIFS(BasisProgramma[204],BasisProgramma[Element],$B26,BasisProgramma[Handeling],$C26)</f>
        <v>52</v>
      </c>
      <c r="F26" s="448">
        <f>SUMIFS(BasisProgramma[156],BasisProgramma[Element],$B26,BasisProgramma[Handeling],$C26)</f>
        <v>52</v>
      </c>
      <c r="G26" s="448">
        <f>SUMIFS(BasisProgramma[104],BasisProgramma[Element],$B26,BasisProgramma[Handeling],$C26)</f>
        <v>52</v>
      </c>
      <c r="H26" s="448">
        <f>SUMIFS(BasisProgramma[52],BasisProgramma[Element],$B26,BasisProgramma[Handeling],$C26)</f>
        <v>52</v>
      </c>
      <c r="I26" s="461">
        <f>SUMIFS(BasisProgramma[4],BasisProgramma[Element],$B26,BasisProgramma[Handeling],$C26)</f>
        <v>4</v>
      </c>
      <c r="J26" s="449"/>
    </row>
    <row r="27" spans="2:10" x14ac:dyDescent="0.2">
      <c r="B27" s="54" t="s">
        <v>728</v>
      </c>
      <c r="C27" s="79" t="s">
        <v>441</v>
      </c>
      <c r="D27" s="447">
        <f>SUMIFS(BasisProgramma[255],BasisProgramma[Element],$B27,BasisProgramma[Handeling],$C27)</f>
        <v>255</v>
      </c>
      <c r="E27" s="448">
        <f>SUMIFS(BasisProgramma[204],BasisProgramma[Element],$B27,BasisProgramma[Handeling],$C27)</f>
        <v>204</v>
      </c>
      <c r="F27" s="448">
        <f>SUMIFS(BasisProgramma[156],BasisProgramma[Element],$B27,BasisProgramma[Handeling],$C27)</f>
        <v>156</v>
      </c>
      <c r="G27" s="448">
        <f>SUMIFS(BasisProgramma[104],BasisProgramma[Element],$B27,BasisProgramma[Handeling],$C27)</f>
        <v>104</v>
      </c>
      <c r="H27" s="448">
        <f>SUMIFS(BasisProgramma[52],BasisProgramma[Element],$B27,BasisProgramma[Handeling],$C27)</f>
        <v>52</v>
      </c>
      <c r="I27" s="461">
        <f>SUMIFS(BasisProgramma[4],BasisProgramma[Element],$B27,BasisProgramma[Handeling],$C27)</f>
        <v>4</v>
      </c>
      <c r="J27" s="449"/>
    </row>
    <row r="28" spans="2:10" x14ac:dyDescent="0.2">
      <c r="B28" s="422" t="s">
        <v>487</v>
      </c>
      <c r="C28" s="79" t="s">
        <v>428</v>
      </c>
      <c r="D28" s="447">
        <f>SUMIFS(BasisProgramma[255],BasisProgramma[Element],$B28,BasisProgramma[Handeling],$C28)</f>
        <v>255</v>
      </c>
      <c r="E28" s="448">
        <f>SUMIFS(BasisProgramma[204],BasisProgramma[Element],$B28,BasisProgramma[Handeling],$C28)</f>
        <v>204</v>
      </c>
      <c r="F28" s="448">
        <f>SUMIFS(BasisProgramma[156],BasisProgramma[Element],$B28,BasisProgramma[Handeling],$C28)</f>
        <v>156</v>
      </c>
      <c r="G28" s="448">
        <f>SUMIFS(BasisProgramma[104],BasisProgramma[Element],$B28,BasisProgramma[Handeling],$C28)</f>
        <v>104</v>
      </c>
      <c r="H28" s="448">
        <f>SUMIFS(BasisProgramma[52],BasisProgramma[Element],$B28,BasisProgramma[Handeling],$C28)</f>
        <v>52</v>
      </c>
      <c r="I28" s="461">
        <f>SUMIFS(BasisProgramma[4],BasisProgramma[Element],$B28,BasisProgramma[Handeling],$C28)</f>
        <v>4</v>
      </c>
      <c r="J28" s="449"/>
    </row>
    <row r="29" spans="2:10" x14ac:dyDescent="0.2">
      <c r="B29" s="422" t="s">
        <v>444</v>
      </c>
      <c r="C29" s="79" t="s">
        <v>435</v>
      </c>
      <c r="D29" s="447">
        <f>SUMIFS(BasisProgramma[255],BasisProgramma[Element],$B29,BasisProgramma[Handeling],$C29)</f>
        <v>255</v>
      </c>
      <c r="E29" s="448">
        <f>SUMIFS(BasisProgramma[204],BasisProgramma[Element],$B29,BasisProgramma[Handeling],$C29)</f>
        <v>204</v>
      </c>
      <c r="F29" s="448">
        <f>SUMIFS(BasisProgramma[156],BasisProgramma[Element],$B29,BasisProgramma[Handeling],$C29)</f>
        <v>156</v>
      </c>
      <c r="G29" s="448">
        <f>SUMIFS(BasisProgramma[104],BasisProgramma[Element],$B29,BasisProgramma[Handeling],$C29)</f>
        <v>104</v>
      </c>
      <c r="H29" s="448">
        <f>SUMIFS(BasisProgramma[52],BasisProgramma[Element],$B29,BasisProgramma[Handeling],$C29)</f>
        <v>52</v>
      </c>
      <c r="I29" s="461">
        <f>SUMIFS(BasisProgramma[4],BasisProgramma[Element],$B29,BasisProgramma[Handeling],$C29)</f>
        <v>4</v>
      </c>
      <c r="J29" s="449"/>
    </row>
    <row r="30" spans="2:10" x14ac:dyDescent="0.2">
      <c r="B30" s="422" t="s">
        <v>458</v>
      </c>
      <c r="C30" s="79" t="s">
        <v>441</v>
      </c>
      <c r="D30" s="447">
        <f>SUMIFS(BasisProgramma[255],BasisProgramma[Element],$B30,BasisProgramma[Handeling],$C30)</f>
        <v>255</v>
      </c>
      <c r="E30" s="448">
        <f>SUMIFS(BasisProgramma[204],BasisProgramma[Element],$B30,BasisProgramma[Handeling],$C30)</f>
        <v>204</v>
      </c>
      <c r="F30" s="448">
        <f>SUMIFS(BasisProgramma[156],BasisProgramma[Element],$B30,BasisProgramma[Handeling],$C30)</f>
        <v>156</v>
      </c>
      <c r="G30" s="448">
        <f>SUMIFS(BasisProgramma[104],BasisProgramma[Element],$B30,BasisProgramma[Handeling],$C30)</f>
        <v>104</v>
      </c>
      <c r="H30" s="448">
        <f>SUMIFS(BasisProgramma[52],BasisProgramma[Element],$B30,BasisProgramma[Handeling],$C30)</f>
        <v>52</v>
      </c>
      <c r="I30" s="461">
        <f>SUMIFS(BasisProgramma[4],BasisProgramma[Element],$B30,BasisProgramma[Handeling],$C30)</f>
        <v>4</v>
      </c>
      <c r="J30" s="449"/>
    </row>
    <row r="31" spans="2:10" x14ac:dyDescent="0.2">
      <c r="B31" s="422" t="s">
        <v>445</v>
      </c>
      <c r="C31" s="79" t="s">
        <v>446</v>
      </c>
      <c r="D31" s="447">
        <f>SUMIFS(BasisProgramma[255],BasisProgramma[Element],$B31,BasisProgramma[Handeling],$C31)</f>
        <v>255</v>
      </c>
      <c r="E31" s="448">
        <f>SUMIFS(BasisProgramma[204],BasisProgramma[Element],$B31,BasisProgramma[Handeling],$C31)</f>
        <v>204</v>
      </c>
      <c r="F31" s="448">
        <f>SUMIFS(BasisProgramma[156],BasisProgramma[Element],$B31,BasisProgramma[Handeling],$C31)</f>
        <v>156</v>
      </c>
      <c r="G31" s="448">
        <f>SUMIFS(BasisProgramma[104],BasisProgramma[Element],$B31,BasisProgramma[Handeling],$C31)</f>
        <v>104</v>
      </c>
      <c r="H31" s="448">
        <f>SUMIFS(BasisProgramma[52],BasisProgramma[Element],$B31,BasisProgramma[Handeling],$C31)</f>
        <v>52</v>
      </c>
      <c r="I31" s="461">
        <f>SUMIFS(BasisProgramma[4],BasisProgramma[Element],$B31,BasisProgramma[Handeling],$C31)</f>
        <v>4</v>
      </c>
      <c r="J31" s="449"/>
    </row>
    <row r="32" spans="2:10" x14ac:dyDescent="0.2">
      <c r="B32" s="54" t="s">
        <v>725</v>
      </c>
      <c r="C32" s="79" t="s">
        <v>467</v>
      </c>
      <c r="D32" s="447">
        <f>SUMIFS(BasisProgramma[255],BasisProgramma[Element],$B32,BasisProgramma[Handeling],$C32)</f>
        <v>255</v>
      </c>
      <c r="E32" s="448">
        <f>SUMIFS(BasisProgramma[204],BasisProgramma[Element],$B32,BasisProgramma[Handeling],$C32)</f>
        <v>204</v>
      </c>
      <c r="F32" s="448">
        <f>SUMIFS(BasisProgramma[156],BasisProgramma[Element],$B32,BasisProgramma[Handeling],$C32)</f>
        <v>156</v>
      </c>
      <c r="G32" s="448">
        <f>SUMIFS(BasisProgramma[104],BasisProgramma[Element],$B32,BasisProgramma[Handeling],$C32)</f>
        <v>104</v>
      </c>
      <c r="H32" s="448">
        <f>SUMIFS(BasisProgramma[52],BasisProgramma[Element],$B32,BasisProgramma[Handeling],$C32)</f>
        <v>52</v>
      </c>
      <c r="I32" s="461">
        <f>SUMIFS(BasisProgramma[4],BasisProgramma[Element],$B32,BasisProgramma[Handeling],$C32)</f>
        <v>4</v>
      </c>
      <c r="J32" s="449"/>
    </row>
    <row r="33" spans="2:10" x14ac:dyDescent="0.2">
      <c r="B33" s="54" t="s">
        <v>725</v>
      </c>
      <c r="C33" s="79" t="s">
        <v>452</v>
      </c>
      <c r="D33" s="447">
        <f>SUMIFS(BasisProgramma[255],BasisProgramma[Element],$B33,BasisProgramma[Handeling],$C33)</f>
        <v>255</v>
      </c>
      <c r="E33" s="448">
        <f>SUMIFS(BasisProgramma[204],BasisProgramma[Element],$B33,BasisProgramma[Handeling],$C33)</f>
        <v>204</v>
      </c>
      <c r="F33" s="448">
        <f>SUMIFS(BasisProgramma[156],BasisProgramma[Element],$B33,BasisProgramma[Handeling],$C33)</f>
        <v>156</v>
      </c>
      <c r="G33" s="448">
        <f>SUMIFS(BasisProgramma[104],BasisProgramma[Element],$B33,BasisProgramma[Handeling],$C33)</f>
        <v>104</v>
      </c>
      <c r="H33" s="448">
        <f>SUMIFS(BasisProgramma[52],BasisProgramma[Element],$B33,BasisProgramma[Handeling],$C33)</f>
        <v>52</v>
      </c>
      <c r="I33" s="461">
        <f>SUMIFS(BasisProgramma[4],BasisProgramma[Element],$B33,BasisProgramma[Handeling],$C33)</f>
        <v>4</v>
      </c>
      <c r="J33" s="449"/>
    </row>
    <row r="34" spans="2:10" x14ac:dyDescent="0.2">
      <c r="B34" s="422" t="s">
        <v>480</v>
      </c>
      <c r="C34" s="79" t="s">
        <v>429</v>
      </c>
      <c r="D34" s="447">
        <f>SUMIFS(BasisProgramma[255],BasisProgramma[Element],$B34,BasisProgramma[Handeling],$C34)</f>
        <v>255</v>
      </c>
      <c r="E34" s="448">
        <f>SUMIFS(BasisProgramma[204],BasisProgramma[Element],$B34,BasisProgramma[Handeling],$C34)</f>
        <v>204</v>
      </c>
      <c r="F34" s="448">
        <f>SUMIFS(BasisProgramma[156],BasisProgramma[Element],$B34,BasisProgramma[Handeling],$C34)</f>
        <v>156</v>
      </c>
      <c r="G34" s="448">
        <f>SUMIFS(BasisProgramma[104],BasisProgramma[Element],$B34,BasisProgramma[Handeling],$C34)</f>
        <v>104</v>
      </c>
      <c r="H34" s="448">
        <f>SUMIFS(BasisProgramma[52],BasisProgramma[Element],$B34,BasisProgramma[Handeling],$C34)</f>
        <v>52</v>
      </c>
      <c r="I34" s="461">
        <f>SUMIFS(BasisProgramma[4],BasisProgramma[Element],$B34,BasisProgramma[Handeling],$C34)</f>
        <v>4</v>
      </c>
      <c r="J34" s="449"/>
    </row>
    <row r="35" spans="2:10" x14ac:dyDescent="0.2">
      <c r="B35" s="422" t="s">
        <v>480</v>
      </c>
      <c r="C35" s="79" t="s">
        <v>465</v>
      </c>
      <c r="D35" s="447">
        <f>SUMIFS(BasisProgramma[255],BasisProgramma[Element],$B35,BasisProgramma[Handeling],$C35)</f>
        <v>52</v>
      </c>
      <c r="E35" s="448">
        <f>SUMIFS(BasisProgramma[204],BasisProgramma[Element],$B35,BasisProgramma[Handeling],$C35)</f>
        <v>52</v>
      </c>
      <c r="F35" s="448">
        <f>SUMIFS(BasisProgramma[156],BasisProgramma[Element],$B35,BasisProgramma[Handeling],$C35)</f>
        <v>52</v>
      </c>
      <c r="G35" s="448">
        <f>SUMIFS(BasisProgramma[104],BasisProgramma[Element],$B35,BasisProgramma[Handeling],$C35)</f>
        <v>52</v>
      </c>
      <c r="H35" s="448">
        <f>SUMIFS(BasisProgramma[52],BasisProgramma[Element],$B35,BasisProgramma[Handeling],$C35)</f>
        <v>52</v>
      </c>
      <c r="I35" s="461">
        <f>SUMIFS(BasisProgramma[4],BasisProgramma[Element],$B35,BasisProgramma[Handeling],$C35)</f>
        <v>4</v>
      </c>
      <c r="J35" s="449"/>
    </row>
    <row r="36" spans="2:10" x14ac:dyDescent="0.2">
      <c r="B36" s="54" t="s">
        <v>724</v>
      </c>
      <c r="C36" s="79" t="s">
        <v>467</v>
      </c>
      <c r="D36" s="447">
        <f>SUMIFS(BasisProgramma[255],BasisProgramma[Element],$B36,BasisProgramma[Handeling],$C36)</f>
        <v>255</v>
      </c>
      <c r="E36" s="448">
        <f>SUMIFS(BasisProgramma[204],BasisProgramma[Element],$B36,BasisProgramma[Handeling],$C36)</f>
        <v>204</v>
      </c>
      <c r="F36" s="448">
        <f>SUMIFS(BasisProgramma[156],BasisProgramma[Element],$B36,BasisProgramma[Handeling],$C36)</f>
        <v>156</v>
      </c>
      <c r="G36" s="448">
        <f>SUMIFS(BasisProgramma[104],BasisProgramma[Element],$B36,BasisProgramma[Handeling],$C36)</f>
        <v>104</v>
      </c>
      <c r="H36" s="448">
        <f>SUMIFS(BasisProgramma[52],BasisProgramma[Element],$B36,BasisProgramma[Handeling],$C36)</f>
        <v>52</v>
      </c>
      <c r="I36" s="461">
        <f>SUMIFS(BasisProgramma[4],BasisProgramma[Element],$B36,BasisProgramma[Handeling],$C36)</f>
        <v>4</v>
      </c>
      <c r="J36" s="449"/>
    </row>
    <row r="37" spans="2:10" x14ac:dyDescent="0.2">
      <c r="B37" s="54" t="s">
        <v>724</v>
      </c>
      <c r="C37" s="79" t="s">
        <v>452</v>
      </c>
      <c r="D37" s="447">
        <f>SUMIFS(BasisProgramma[255],BasisProgramma[Element],$B37,BasisProgramma[Handeling],$C37)</f>
        <v>255</v>
      </c>
      <c r="E37" s="448">
        <f>SUMIFS(BasisProgramma[204],BasisProgramma[Element],$B37,BasisProgramma[Handeling],$C37)</f>
        <v>204</v>
      </c>
      <c r="F37" s="448">
        <f>SUMIFS(BasisProgramma[156],BasisProgramma[Element],$B37,BasisProgramma[Handeling],$C37)</f>
        <v>156</v>
      </c>
      <c r="G37" s="448">
        <f>SUMIFS(BasisProgramma[104],BasisProgramma[Element],$B37,BasisProgramma[Handeling],$C37)</f>
        <v>104</v>
      </c>
      <c r="H37" s="448">
        <f>SUMIFS(BasisProgramma[52],BasisProgramma[Element],$B37,BasisProgramma[Handeling],$C37)</f>
        <v>52</v>
      </c>
      <c r="I37" s="461">
        <f>SUMIFS(BasisProgramma[4],BasisProgramma[Element],$B37,BasisProgramma[Handeling],$C37)</f>
        <v>4</v>
      </c>
      <c r="J37" s="449"/>
    </row>
    <row r="38" spans="2:10" x14ac:dyDescent="0.2">
      <c r="B38" s="422" t="s">
        <v>448</v>
      </c>
      <c r="C38" s="79" t="s">
        <v>428</v>
      </c>
      <c r="D38" s="447">
        <f>SUMIFS(BasisProgramma[255],BasisProgramma[Element],$B38,BasisProgramma[Handeling],$C38)</f>
        <v>40</v>
      </c>
      <c r="E38" s="448">
        <f>SUMIFS(BasisProgramma[204],BasisProgramma[Element],$B38,BasisProgramma[Handeling],$C38)</f>
        <v>40</v>
      </c>
      <c r="F38" s="448">
        <f>SUMIFS(BasisProgramma[156],BasisProgramma[Element],$B38,BasisProgramma[Handeling],$C38)</f>
        <v>40</v>
      </c>
      <c r="G38" s="448">
        <f>SUMIFS(BasisProgramma[104],BasisProgramma[Element],$B38,BasisProgramma[Handeling],$C38)</f>
        <v>40</v>
      </c>
      <c r="H38" s="448">
        <f>SUMIFS(BasisProgramma[52],BasisProgramma[Element],$B38,BasisProgramma[Handeling],$C38)</f>
        <v>40</v>
      </c>
      <c r="I38" s="461">
        <f>SUMIFS(BasisProgramma[4],BasisProgramma[Element],$B38,BasisProgramma[Handeling],$C38)</f>
        <v>0</v>
      </c>
      <c r="J38" s="449"/>
    </row>
    <row r="39" spans="2:10" x14ac:dyDescent="0.2">
      <c r="B39" s="422" t="s">
        <v>448</v>
      </c>
      <c r="C39" s="79" t="s">
        <v>452</v>
      </c>
      <c r="D39" s="447">
        <f>SUMIFS(BasisProgramma[255],BasisProgramma[Element],$B39,BasisProgramma[Handeling],$C39)</f>
        <v>12</v>
      </c>
      <c r="E39" s="448">
        <f>SUMIFS(BasisProgramma[204],BasisProgramma[Element],$B39,BasisProgramma[Handeling],$C39)</f>
        <v>12</v>
      </c>
      <c r="F39" s="448">
        <f>SUMIFS(BasisProgramma[156],BasisProgramma[Element],$B39,BasisProgramma[Handeling],$C39)</f>
        <v>12</v>
      </c>
      <c r="G39" s="448">
        <f>SUMIFS(BasisProgramma[104],BasisProgramma[Element],$B39,BasisProgramma[Handeling],$C39)</f>
        <v>12</v>
      </c>
      <c r="H39" s="448">
        <f>SUMIFS(BasisProgramma[52],BasisProgramma[Element],$B39,BasisProgramma[Handeling],$C39)</f>
        <v>12</v>
      </c>
      <c r="I39" s="461">
        <f>SUMIFS(BasisProgramma[4],BasisProgramma[Element],$B39,BasisProgramma[Handeling],$C39)</f>
        <v>4</v>
      </c>
      <c r="J39" s="449"/>
    </row>
    <row r="40" spans="2:10" x14ac:dyDescent="0.2">
      <c r="B40" s="422" t="s">
        <v>481</v>
      </c>
      <c r="C40" s="79" t="s">
        <v>499</v>
      </c>
      <c r="D40" s="447">
        <f>SUMIFS(BasisProgramma[255],BasisProgramma[Element],$B40,BasisProgramma[Handeling],$C40)</f>
        <v>104</v>
      </c>
      <c r="E40" s="448">
        <f>SUMIFS(BasisProgramma[204],BasisProgramma[Element],$B40,BasisProgramma[Handeling],$C40)</f>
        <v>104</v>
      </c>
      <c r="F40" s="448">
        <f>SUMIFS(BasisProgramma[156],BasisProgramma[Element],$B40,BasisProgramma[Handeling],$C40)</f>
        <v>104</v>
      </c>
      <c r="G40" s="448">
        <f>SUMIFS(BasisProgramma[104],BasisProgramma[Element],$B40,BasisProgramma[Handeling],$C40)</f>
        <v>52</v>
      </c>
      <c r="H40" s="448">
        <f>SUMIFS(BasisProgramma[52],BasisProgramma[Element],$B40,BasisProgramma[Handeling],$C40)</f>
        <v>0</v>
      </c>
      <c r="I40" s="461">
        <f>SUMIFS(BasisProgramma[4],BasisProgramma[Element],$B40,BasisProgramma[Handeling],$C40)</f>
        <v>0</v>
      </c>
      <c r="J40" s="449"/>
    </row>
    <row r="41" spans="2:10" x14ac:dyDescent="0.2">
      <c r="B41" s="422" t="s">
        <v>449</v>
      </c>
      <c r="C41" s="79" t="s">
        <v>441</v>
      </c>
      <c r="D41" s="447">
        <f>SUMIFS(BasisProgramma[255],BasisProgramma[Element],$B41,BasisProgramma[Handeling],$C41)</f>
        <v>52</v>
      </c>
      <c r="E41" s="448">
        <f>SUMIFS(BasisProgramma[204],BasisProgramma[Element],$B41,BasisProgramma[Handeling],$C41)</f>
        <v>52</v>
      </c>
      <c r="F41" s="448">
        <f>SUMIFS(BasisProgramma[156],BasisProgramma[Element],$B41,BasisProgramma[Handeling],$C41)</f>
        <v>52</v>
      </c>
      <c r="G41" s="448">
        <f>SUMIFS(BasisProgramma[104],BasisProgramma[Element],$B41,BasisProgramma[Handeling],$C41)</f>
        <v>52</v>
      </c>
      <c r="H41" s="448">
        <f>SUMIFS(BasisProgramma[52],BasisProgramma[Element],$B41,BasisProgramma[Handeling],$C41)</f>
        <v>52</v>
      </c>
      <c r="I41" s="461">
        <f>SUMIFS(BasisProgramma[4],BasisProgramma[Element],$B41,BasisProgramma[Handeling],$C41)</f>
        <v>4</v>
      </c>
      <c r="J41" s="449"/>
    </row>
    <row r="42" spans="2:10" x14ac:dyDescent="0.2">
      <c r="B42" s="422" t="s">
        <v>450</v>
      </c>
      <c r="C42" s="79" t="s">
        <v>428</v>
      </c>
      <c r="D42" s="447">
        <f>SUMIFS(BasisProgramma[255],BasisProgramma[Element],$B42,BasisProgramma[Handeling],$C42)</f>
        <v>40</v>
      </c>
      <c r="E42" s="448">
        <f>SUMIFS(BasisProgramma[204],BasisProgramma[Element],$B42,BasisProgramma[Handeling],$C42)</f>
        <v>40</v>
      </c>
      <c r="F42" s="448">
        <f>SUMIFS(BasisProgramma[156],BasisProgramma[Element],$B42,BasisProgramma[Handeling],$C42)</f>
        <v>40</v>
      </c>
      <c r="G42" s="448">
        <f>SUMIFS(BasisProgramma[104],BasisProgramma[Element],$B42,BasisProgramma[Handeling],$C42)</f>
        <v>40</v>
      </c>
      <c r="H42" s="448">
        <f>SUMIFS(BasisProgramma[52],BasisProgramma[Element],$B42,BasisProgramma[Handeling],$C42)</f>
        <v>40</v>
      </c>
      <c r="I42" s="461">
        <f>SUMIFS(BasisProgramma[4],BasisProgramma[Element],$B42,BasisProgramma[Handeling],$C42)</f>
        <v>0</v>
      </c>
      <c r="J42" s="449"/>
    </row>
    <row r="43" spans="2:10" x14ac:dyDescent="0.2">
      <c r="B43" s="422" t="s">
        <v>450</v>
      </c>
      <c r="C43" s="79" t="s">
        <v>429</v>
      </c>
      <c r="D43" s="447">
        <f>SUMIFS(BasisProgramma[255],BasisProgramma[Element],$B43,BasisProgramma[Handeling],$C43)</f>
        <v>12</v>
      </c>
      <c r="E43" s="448">
        <f>SUMIFS(BasisProgramma[204],BasisProgramma[Element],$B43,BasisProgramma[Handeling],$C43)</f>
        <v>12</v>
      </c>
      <c r="F43" s="448">
        <f>SUMIFS(BasisProgramma[156],BasisProgramma[Element],$B43,BasisProgramma[Handeling],$C43)</f>
        <v>12</v>
      </c>
      <c r="G43" s="448">
        <f>SUMIFS(BasisProgramma[104],BasisProgramma[Element],$B43,BasisProgramma[Handeling],$C43)</f>
        <v>12</v>
      </c>
      <c r="H43" s="448">
        <f>SUMIFS(BasisProgramma[52],BasisProgramma[Element],$B43,BasisProgramma[Handeling],$C43)</f>
        <v>12</v>
      </c>
      <c r="I43" s="461">
        <f>SUMIFS(BasisProgramma[4],BasisProgramma[Element],$B43,BasisProgramma[Handeling],$C43)</f>
        <v>4</v>
      </c>
      <c r="J43" s="449"/>
    </row>
    <row r="44" spans="2:10" x14ac:dyDescent="0.2">
      <c r="B44" s="422" t="s">
        <v>744</v>
      </c>
      <c r="C44" s="78" t="s">
        <v>742</v>
      </c>
      <c r="D44" s="447">
        <f>SUMIFS(BasisProgramma[255],BasisProgramma[Element],$B44,BasisProgramma[Handeling],$C44)</f>
        <v>255</v>
      </c>
      <c r="E44" s="448">
        <f>SUMIFS(BasisProgramma[204],BasisProgramma[Element],$B44,BasisProgramma[Handeling],$C44)</f>
        <v>204</v>
      </c>
      <c r="F44" s="448">
        <f>SUMIFS(BasisProgramma[156],BasisProgramma[Element],$B44,BasisProgramma[Handeling],$C44)</f>
        <v>156</v>
      </c>
      <c r="G44" s="448">
        <f>SUMIFS(BasisProgramma[104],BasisProgramma[Element],$B44,BasisProgramma[Handeling],$C44)</f>
        <v>104</v>
      </c>
      <c r="H44" s="448">
        <f>SUMIFS(BasisProgramma[52],BasisProgramma[Element],$B44,BasisProgramma[Handeling],$C44)</f>
        <v>52</v>
      </c>
      <c r="I44" s="461">
        <f>SUMIFS(BasisProgramma[4],BasisProgramma[Element],$B44,BasisProgramma[Handeling],$C44)</f>
        <v>4</v>
      </c>
      <c r="J44" s="449"/>
    </row>
    <row r="45" spans="2:10" x14ac:dyDescent="0.2">
      <c r="B45" s="422" t="s">
        <v>744</v>
      </c>
      <c r="C45" s="78" t="s">
        <v>483</v>
      </c>
      <c r="D45" s="447">
        <f>SUMIFS(BasisProgramma[255],BasisProgramma[Element],$B45,BasisProgramma[Handeling],$C45)</f>
        <v>52</v>
      </c>
      <c r="E45" s="448">
        <f>SUMIFS(BasisProgramma[204],BasisProgramma[Element],$B45,BasisProgramma[Handeling],$C45)</f>
        <v>52</v>
      </c>
      <c r="F45" s="448">
        <f>SUMIFS(BasisProgramma[156],BasisProgramma[Element],$B45,BasisProgramma[Handeling],$C45)</f>
        <v>52</v>
      </c>
      <c r="G45" s="448">
        <f>SUMIFS(BasisProgramma[104],BasisProgramma[Element],$B45,BasisProgramma[Handeling],$C45)</f>
        <v>52</v>
      </c>
      <c r="H45" s="448">
        <f>SUMIFS(BasisProgramma[52],BasisProgramma[Element],$B45,BasisProgramma[Handeling],$C45)</f>
        <v>52</v>
      </c>
      <c r="I45" s="461">
        <f>SUMIFS(BasisProgramma[4],BasisProgramma[Element],$B45,BasisProgramma[Handeling],$C45)</f>
        <v>4</v>
      </c>
      <c r="J45" s="449"/>
    </row>
    <row r="46" spans="2:10" x14ac:dyDescent="0.2">
      <c r="B46" s="422" t="s">
        <v>745</v>
      </c>
      <c r="C46" s="79" t="s">
        <v>482</v>
      </c>
      <c r="D46" s="447">
        <f>SUMIFS(BasisProgramma[255],BasisProgramma[Element],$B46,BasisProgramma[Handeling],$C46)</f>
        <v>255</v>
      </c>
      <c r="E46" s="448">
        <f>SUMIFS(BasisProgramma[204],BasisProgramma[Element],$B46,BasisProgramma[Handeling],$C46)</f>
        <v>204</v>
      </c>
      <c r="F46" s="448">
        <f>SUMIFS(BasisProgramma[156],BasisProgramma[Element],$B46,BasisProgramma[Handeling],$C46)</f>
        <v>156</v>
      </c>
      <c r="G46" s="448">
        <f>SUMIFS(BasisProgramma[104],BasisProgramma[Element],$B46,BasisProgramma[Handeling],$C46)</f>
        <v>104</v>
      </c>
      <c r="H46" s="448">
        <f>SUMIFS(BasisProgramma[52],BasisProgramma[Element],$B46,BasisProgramma[Handeling],$C46)</f>
        <v>52</v>
      </c>
      <c r="I46" s="461">
        <f>SUMIFS(BasisProgramma[4],BasisProgramma[Element],$B46,BasisProgramma[Handeling],$C46)</f>
        <v>4</v>
      </c>
      <c r="J46" s="449"/>
    </row>
    <row r="47" spans="2:10" x14ac:dyDescent="0.2">
      <c r="B47" s="422" t="s">
        <v>745</v>
      </c>
      <c r="C47" s="79" t="s">
        <v>483</v>
      </c>
      <c r="D47" s="447">
        <f>SUMIFS(BasisProgramma[255],BasisProgramma[Element],$B47,BasisProgramma[Handeling],$C47)</f>
        <v>255</v>
      </c>
      <c r="E47" s="448">
        <f>SUMIFS(BasisProgramma[204],BasisProgramma[Element],$B47,BasisProgramma[Handeling],$C47)</f>
        <v>204</v>
      </c>
      <c r="F47" s="448">
        <f>SUMIFS(BasisProgramma[156],BasisProgramma[Element],$B47,BasisProgramma[Handeling],$C47)</f>
        <v>156</v>
      </c>
      <c r="G47" s="448">
        <f>SUMIFS(BasisProgramma[104],BasisProgramma[Element],$B47,BasisProgramma[Handeling],$C47)</f>
        <v>104</v>
      </c>
      <c r="H47" s="448">
        <f>SUMIFS(BasisProgramma[52],BasisProgramma[Element],$B47,BasisProgramma[Handeling],$C47)</f>
        <v>52</v>
      </c>
      <c r="I47" s="461">
        <f>SUMIFS(BasisProgramma[4],BasisProgramma[Element],$B47,BasisProgramma[Handeling],$C47)</f>
        <v>0</v>
      </c>
      <c r="J47" s="449"/>
    </row>
    <row r="48" spans="2:10" x14ac:dyDescent="0.2">
      <c r="B48" s="422" t="s">
        <v>745</v>
      </c>
      <c r="C48" s="79" t="s">
        <v>484</v>
      </c>
      <c r="D48" s="447">
        <f>SUMIFS(BasisProgramma[255],BasisProgramma[Element],$B48,BasisProgramma[Handeling],$C48)</f>
        <v>52</v>
      </c>
      <c r="E48" s="448">
        <f>SUMIFS(BasisProgramma[204],BasisProgramma[Element],$B48,BasisProgramma[Handeling],$C48)</f>
        <v>52</v>
      </c>
      <c r="F48" s="448">
        <f>SUMIFS(BasisProgramma[156],BasisProgramma[Element],$B48,BasisProgramma[Handeling],$C48)</f>
        <v>52</v>
      </c>
      <c r="G48" s="448">
        <f>SUMIFS(BasisProgramma[104],BasisProgramma[Element],$B48,BasisProgramma[Handeling],$C48)</f>
        <v>52</v>
      </c>
      <c r="H48" s="448">
        <f>SUMIFS(BasisProgramma[52],BasisProgramma[Element],$B48,BasisProgramma[Handeling],$C48)</f>
        <v>52</v>
      </c>
      <c r="I48" s="461">
        <f>SUMIFS(BasisProgramma[4],BasisProgramma[Element],$B48,BasisProgramma[Handeling],$C48)</f>
        <v>4</v>
      </c>
      <c r="J48" s="449"/>
    </row>
    <row r="49" spans="2:10" x14ac:dyDescent="0.2">
      <c r="B49" s="422" t="s">
        <v>468</v>
      </c>
      <c r="C49" s="79" t="s">
        <v>460</v>
      </c>
      <c r="D49" s="447">
        <f>SUMIFS(BasisProgramma[255],BasisProgramma[Element],$B49,BasisProgramma[Handeling],$C49)</f>
        <v>243</v>
      </c>
      <c r="E49" s="448">
        <f>SUMIFS(BasisProgramma[204],BasisProgramma[Element],$B49,BasisProgramma[Handeling],$C49)</f>
        <v>192</v>
      </c>
      <c r="F49" s="448">
        <f>SUMIFS(BasisProgramma[156],BasisProgramma[Element],$B49,BasisProgramma[Handeling],$C49)</f>
        <v>144</v>
      </c>
      <c r="G49" s="448">
        <f>SUMIFS(BasisProgramma[104],BasisProgramma[Element],$B49,BasisProgramma[Handeling],$C49)</f>
        <v>92</v>
      </c>
      <c r="H49" s="448">
        <f>SUMIFS(BasisProgramma[52],BasisProgramma[Element],$B49,BasisProgramma[Handeling],$C49)</f>
        <v>46</v>
      </c>
      <c r="I49" s="461">
        <f>SUMIFS(BasisProgramma[4],BasisProgramma[Element],$B49,BasisProgramma[Handeling],$C49)</f>
        <v>0</v>
      </c>
      <c r="J49" s="449"/>
    </row>
    <row r="50" spans="2:10" x14ac:dyDescent="0.2">
      <c r="B50" s="422" t="s">
        <v>468</v>
      </c>
      <c r="C50" s="79" t="s">
        <v>461</v>
      </c>
      <c r="D50" s="447">
        <f>SUMIFS(BasisProgramma[255],BasisProgramma[Element],$B50,BasisProgramma[Handeling],$C50)</f>
        <v>12</v>
      </c>
      <c r="E50" s="448">
        <f>SUMIFS(BasisProgramma[204],BasisProgramma[Element],$B50,BasisProgramma[Handeling],$C50)</f>
        <v>12</v>
      </c>
      <c r="F50" s="448">
        <f>SUMIFS(BasisProgramma[156],BasisProgramma[Element],$B50,BasisProgramma[Handeling],$C50)</f>
        <v>12</v>
      </c>
      <c r="G50" s="448">
        <f>SUMIFS(BasisProgramma[104],BasisProgramma[Element],$B50,BasisProgramma[Handeling],$C50)</f>
        <v>12</v>
      </c>
      <c r="H50" s="448">
        <f>SUMIFS(BasisProgramma[52],BasisProgramma[Element],$B50,BasisProgramma[Handeling],$C50)</f>
        <v>6</v>
      </c>
      <c r="I50" s="461">
        <f>SUMIFS(BasisProgramma[4],BasisProgramma[Element],$B50,BasisProgramma[Handeling],$C50)</f>
        <v>4</v>
      </c>
      <c r="J50" s="449"/>
    </row>
    <row r="51" spans="2:10" x14ac:dyDescent="0.2">
      <c r="B51" s="422" t="s">
        <v>729</v>
      </c>
      <c r="C51" s="79" t="s">
        <v>441</v>
      </c>
      <c r="D51" s="447">
        <f>SUMIFS(BasisProgramma[255],BasisProgramma[Element],$B51,BasisProgramma[Handeling],$C51)</f>
        <v>255</v>
      </c>
      <c r="E51" s="448">
        <f>SUMIFS(BasisProgramma[204],BasisProgramma[Element],$B51,BasisProgramma[Handeling],$C51)</f>
        <v>204</v>
      </c>
      <c r="F51" s="448">
        <f>SUMIFS(BasisProgramma[156],BasisProgramma[Element],$B51,BasisProgramma[Handeling],$C51)</f>
        <v>156</v>
      </c>
      <c r="G51" s="448">
        <f>SUMIFS(BasisProgramma[104],BasisProgramma[Element],$B51,BasisProgramma[Handeling],$C51)</f>
        <v>104</v>
      </c>
      <c r="H51" s="448">
        <f>SUMIFS(BasisProgramma[52],BasisProgramma[Element],$B51,BasisProgramma[Handeling],$C51)</f>
        <v>52</v>
      </c>
      <c r="I51" s="461">
        <f>SUMIFS(BasisProgramma[4],BasisProgramma[Element],$B51,BasisProgramma[Handeling],$C51)</f>
        <v>4</v>
      </c>
      <c r="J51" s="449"/>
    </row>
    <row r="52" spans="2:10" x14ac:dyDescent="0.2">
      <c r="B52" s="422" t="s">
        <v>729</v>
      </c>
      <c r="C52" s="79" t="s">
        <v>465</v>
      </c>
      <c r="D52" s="447">
        <f>SUMIFS(BasisProgramma[255],BasisProgramma[Element],$B52,BasisProgramma[Handeling],$C52)</f>
        <v>12</v>
      </c>
      <c r="E52" s="448">
        <f>SUMIFS(BasisProgramma[204],BasisProgramma[Element],$B52,BasisProgramma[Handeling],$C52)</f>
        <v>12</v>
      </c>
      <c r="F52" s="448">
        <f>SUMIFS(BasisProgramma[156],BasisProgramma[Element],$B52,BasisProgramma[Handeling],$C52)</f>
        <v>12</v>
      </c>
      <c r="G52" s="448">
        <f>SUMIFS(BasisProgramma[104],BasisProgramma[Element],$B52,BasisProgramma[Handeling],$C52)</f>
        <v>12</v>
      </c>
      <c r="H52" s="448">
        <f>SUMIFS(BasisProgramma[52],BasisProgramma[Element],$B52,BasisProgramma[Handeling],$C52)</f>
        <v>6</v>
      </c>
      <c r="I52" s="461">
        <f>SUMIFS(BasisProgramma[4],BasisProgramma[Element],$B52,BasisProgramma[Handeling],$C52)</f>
        <v>4</v>
      </c>
      <c r="J52" s="449"/>
    </row>
    <row r="53" spans="2:10" x14ac:dyDescent="0.2">
      <c r="B53" s="54" t="s">
        <v>723</v>
      </c>
      <c r="C53" s="79" t="s">
        <v>467</v>
      </c>
      <c r="D53" s="447">
        <f>SUMIFS(BasisProgramma[255],BasisProgramma[Element],$B53,BasisProgramma[Handeling],$C53)</f>
        <v>255</v>
      </c>
      <c r="E53" s="448">
        <f>SUMIFS(BasisProgramma[204],BasisProgramma[Element],$B53,BasisProgramma[Handeling],$C53)</f>
        <v>204</v>
      </c>
      <c r="F53" s="448">
        <f>SUMIFS(BasisProgramma[156],BasisProgramma[Element],$B53,BasisProgramma[Handeling],$C53)</f>
        <v>156</v>
      </c>
      <c r="G53" s="448">
        <f>SUMIFS(BasisProgramma[104],BasisProgramma[Element],$B53,BasisProgramma[Handeling],$C53)</f>
        <v>104</v>
      </c>
      <c r="H53" s="448">
        <f>SUMIFS(BasisProgramma[52],BasisProgramma[Element],$B53,BasisProgramma[Handeling],$C53)</f>
        <v>52</v>
      </c>
      <c r="I53" s="461">
        <f>SUMIFS(BasisProgramma[4],BasisProgramma[Element],$B53,BasisProgramma[Handeling],$C53)</f>
        <v>4</v>
      </c>
      <c r="J53" s="449"/>
    </row>
    <row r="54" spans="2:10" ht="12.75" thickBot="1" x14ac:dyDescent="0.25">
      <c r="B54" s="423" t="s">
        <v>723</v>
      </c>
      <c r="C54" s="424" t="s">
        <v>452</v>
      </c>
      <c r="D54" s="456">
        <f>SUMIFS(BasisProgramma[255],BasisProgramma[Element],$B54,BasisProgramma[Handeling],$C54)</f>
        <v>255</v>
      </c>
      <c r="E54" s="457">
        <f>SUMIFS(BasisProgramma[204],BasisProgramma[Element],$B54,BasisProgramma[Handeling],$C54)</f>
        <v>204</v>
      </c>
      <c r="F54" s="457">
        <f>SUMIFS(BasisProgramma[156],BasisProgramma[Element],$B54,BasisProgramma[Handeling],$C54)</f>
        <v>156</v>
      </c>
      <c r="G54" s="457">
        <f>SUMIFS(BasisProgramma[104],BasisProgramma[Element],$B54,BasisProgramma[Handeling],$C54)</f>
        <v>104</v>
      </c>
      <c r="H54" s="457">
        <f>SUMIFS(BasisProgramma[52],BasisProgramma[Element],$B54,BasisProgramma[Handeling],$C54)</f>
        <v>52</v>
      </c>
      <c r="I54" s="463">
        <f>SUMIFS(BasisProgramma[4],BasisProgramma[Element],$B54,BasisProgramma[Handeling],$C54)</f>
        <v>4</v>
      </c>
      <c r="J54" s="458"/>
    </row>
  </sheetData>
  <sheetProtection algorithmName="SHA-512" hashValue="Pu4r8wqFxiLYdKMSwtKIZv3PjMZHeB3zgaEb6AuwQk3/5WEiE5fISeiqHOWAzOkGl7Ov+JN3UrS63ouQrI1wKg==" saltValue="zJpDZkwghbDHUSOI8t1eUg==" spinCount="100000" sheet="1" objects="1" scenarios="1"/>
  <mergeCells count="1">
    <mergeCell ref="B1:J1"/>
  </mergeCells>
  <printOptions horizontalCentered="1" verticalCentered="1"/>
  <pageMargins left="0.70866141732283472" right="0.70866141732283472" top="0.74803149606299213" bottom="0.74803149606299213" header="0.31496062992125984" footer="0.31496062992125984"/>
  <pageSetup paperSize="9" scale="72" orientation="portrait" horizontalDpi="0" verticalDpi="0" r:id="rId1"/>
  <headerFooter>
    <oddHeader>&amp;L&amp;9&amp;K04-047Werkprogramma - Sanitaire ruimte&amp;R&amp;G</oddHeader>
    <oddFooter>&amp;L&amp;9&amp;K04-049Offerteaanvraag EU Openbare aanbesteding Schoonmaakonderhoud&amp;C&amp;9&amp;K04-049 8 april 2022&amp;R&amp;9&amp;K04-049Blad &amp;P van &amp;N</oddFooter>
  </headerFooter>
  <ignoredErrors>
    <ignoredError sqref="D3:E3" numberStoredAsText="1"/>
    <ignoredError sqref="D4:E54" unlockedFormula="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AA4C0-69C7-4CAB-BACC-C18134F8F257}">
  <sheetPr codeName="Blad17">
    <tabColor theme="7" tint="0.59999389629810485"/>
    <pageSetUpPr fitToPage="1"/>
  </sheetPr>
  <dimension ref="B1:J57"/>
  <sheetViews>
    <sheetView showGridLines="0" showRowColHeaders="0" tabSelected="1" workbookViewId="0">
      <pane ySplit="3" topLeftCell="A4" activePane="bottomLeft" state="frozen"/>
      <selection activeCell="D28" sqref="D28"/>
      <selection pane="bottomLeft" activeCell="M27" sqref="M27"/>
    </sheetView>
  </sheetViews>
  <sheetFormatPr defaultColWidth="9.140625" defaultRowHeight="12" x14ac:dyDescent="0.2"/>
  <cols>
    <col min="1" max="1" width="9.140625" style="7"/>
    <col min="2" max="2" width="44.7109375" style="7" bestFit="1" customWidth="1"/>
    <col min="3" max="3" width="45.85546875" style="7" bestFit="1" customWidth="1"/>
    <col min="4" max="5" width="9.140625" style="84"/>
    <col min="6" max="9" width="9.140625" style="84" hidden="1" customWidth="1"/>
    <col min="10" max="10" width="1.7109375" style="84" customWidth="1"/>
    <col min="11" max="16384" width="9.140625" style="7"/>
  </cols>
  <sheetData>
    <row r="1" spans="2:10" ht="25.5" customHeight="1" thickBot="1" x14ac:dyDescent="0.25">
      <c r="B1" s="603" t="s">
        <v>762</v>
      </c>
      <c r="C1" s="604"/>
      <c r="D1" s="604"/>
      <c r="E1" s="604"/>
      <c r="F1" s="604"/>
      <c r="G1" s="604"/>
      <c r="H1" s="604"/>
      <c r="I1" s="604"/>
      <c r="J1" s="605"/>
    </row>
    <row r="2" spans="2:10" ht="12.75" thickBot="1" x14ac:dyDescent="0.25"/>
    <row r="3" spans="2:10" ht="12.75" thickBot="1" x14ac:dyDescent="0.25">
      <c r="B3" s="412" t="s">
        <v>451</v>
      </c>
      <c r="C3" s="413" t="s">
        <v>388</v>
      </c>
      <c r="D3" s="414" t="s">
        <v>751</v>
      </c>
      <c r="E3" s="415" t="s">
        <v>752</v>
      </c>
      <c r="F3" s="416" t="s">
        <v>753</v>
      </c>
      <c r="G3" s="416" t="s">
        <v>754</v>
      </c>
      <c r="H3" s="416" t="s">
        <v>755</v>
      </c>
      <c r="I3" s="428" t="s">
        <v>756</v>
      </c>
      <c r="J3" s="417"/>
    </row>
    <row r="4" spans="2:10" x14ac:dyDescent="0.2">
      <c r="B4" s="418" t="s">
        <v>494</v>
      </c>
      <c r="C4" s="419" t="s">
        <v>427</v>
      </c>
      <c r="D4" s="444">
        <f>SUMIFS(BasisProgramma[255],BasisProgramma[Element],$B4,BasisProgramma[Handeling],$C4)</f>
        <v>255</v>
      </c>
      <c r="E4" s="445">
        <f>SUMIFS(BasisProgramma[204],BasisProgramma[Element],$B4,BasisProgramma[Handeling],$C4)</f>
        <v>204</v>
      </c>
      <c r="F4" s="445">
        <f>SUMIFS(BasisProgramma[156],BasisProgramma[Element],$B4,BasisProgramma[Handeling],$C4)</f>
        <v>156</v>
      </c>
      <c r="G4" s="445">
        <f>SUMIFS(BasisProgramma[104],BasisProgramma[Element],$B4,BasisProgramma[Handeling],$C4)</f>
        <v>104</v>
      </c>
      <c r="H4" s="445">
        <f>SUMIFS(BasisProgramma[52],BasisProgramma[Element],$B4,BasisProgramma[Handeling],$C4)</f>
        <v>52</v>
      </c>
      <c r="I4" s="460">
        <f>SUMIFS(BasisProgramma[4],BasisProgramma[Element],$B4,BasisProgramma[Handeling],$C4)</f>
        <v>4</v>
      </c>
      <c r="J4" s="446"/>
    </row>
    <row r="5" spans="2:10" x14ac:dyDescent="0.2">
      <c r="B5" s="422" t="s">
        <v>494</v>
      </c>
      <c r="C5" s="79" t="s">
        <v>428</v>
      </c>
      <c r="D5" s="447">
        <f>SUMIFS(BasisProgramma[255],BasisProgramma[Element],$B5,BasisProgramma[Handeling],$C5)</f>
        <v>203</v>
      </c>
      <c r="E5" s="448">
        <f>SUMIFS(BasisProgramma[204],BasisProgramma[Element],$B5,BasisProgramma[Handeling],$C5)</f>
        <v>152</v>
      </c>
      <c r="F5" s="448">
        <f>SUMIFS(BasisProgramma[156],BasisProgramma[Element],$B5,BasisProgramma[Handeling],$C5)</f>
        <v>104</v>
      </c>
      <c r="G5" s="448">
        <f>SUMIFS(BasisProgramma[104],BasisProgramma[Element],$B5,BasisProgramma[Handeling],$C5)</f>
        <v>92</v>
      </c>
      <c r="H5" s="448">
        <f>SUMIFS(BasisProgramma[52],BasisProgramma[Element],$B5,BasisProgramma[Handeling],$C5)</f>
        <v>46</v>
      </c>
      <c r="I5" s="461">
        <f>SUMIFS(BasisProgramma[4],BasisProgramma[Element],$B5,BasisProgramma[Handeling],$C5)</f>
        <v>0</v>
      </c>
      <c r="J5" s="449"/>
    </row>
    <row r="6" spans="2:10" x14ac:dyDescent="0.2">
      <c r="B6" s="422" t="s">
        <v>494</v>
      </c>
      <c r="C6" s="79" t="s">
        <v>429</v>
      </c>
      <c r="D6" s="447">
        <f>SUMIFS(BasisProgramma[255],BasisProgramma[Element],$B6,BasisProgramma[Handeling],$C6)</f>
        <v>52</v>
      </c>
      <c r="E6" s="448">
        <f>SUMIFS(BasisProgramma[204],BasisProgramma[Element],$B6,BasisProgramma[Handeling],$C6)</f>
        <v>52</v>
      </c>
      <c r="F6" s="448">
        <f>SUMIFS(BasisProgramma[156],BasisProgramma[Element],$B6,BasisProgramma[Handeling],$C6)</f>
        <v>52</v>
      </c>
      <c r="G6" s="448">
        <f>SUMIFS(BasisProgramma[104],BasisProgramma[Element],$B6,BasisProgramma[Handeling],$C6)</f>
        <v>12</v>
      </c>
      <c r="H6" s="448">
        <f>SUMIFS(BasisProgramma[52],BasisProgramma[Element],$B6,BasisProgramma[Handeling],$C6)</f>
        <v>6</v>
      </c>
      <c r="I6" s="461">
        <f>SUMIFS(BasisProgramma[4],BasisProgramma[Element],$B6,BasisProgramma[Handeling],$C6)</f>
        <v>4</v>
      </c>
      <c r="J6" s="449"/>
    </row>
    <row r="7" spans="2:10" x14ac:dyDescent="0.2">
      <c r="B7" s="422" t="s">
        <v>469</v>
      </c>
      <c r="C7" s="79" t="s">
        <v>470</v>
      </c>
      <c r="D7" s="447">
        <f>SUMIFS(BasisProgramma[255],BasisProgramma[Element],$B7,BasisProgramma[Handeling],$C7)</f>
        <v>255</v>
      </c>
      <c r="E7" s="448">
        <f>SUMIFS(BasisProgramma[204],BasisProgramma[Element],$B7,BasisProgramma[Handeling],$C7)</f>
        <v>204</v>
      </c>
      <c r="F7" s="448">
        <f>SUMIFS(BasisProgramma[156],BasisProgramma[Element],$B7,BasisProgramma[Handeling],$C7)</f>
        <v>156</v>
      </c>
      <c r="G7" s="448">
        <f>SUMIFS(BasisProgramma[104],BasisProgramma[Element],$B7,BasisProgramma[Handeling],$C7)</f>
        <v>104</v>
      </c>
      <c r="H7" s="448">
        <f>SUMIFS(BasisProgramma[52],BasisProgramma[Element],$B7,BasisProgramma[Handeling],$C7)</f>
        <v>52</v>
      </c>
      <c r="I7" s="461">
        <f>SUMIFS(BasisProgramma[4],BasisProgramma[Element],$B7,BasisProgramma[Handeling],$C7)</f>
        <v>4</v>
      </c>
      <c r="J7" s="449"/>
    </row>
    <row r="8" spans="2:10" x14ac:dyDescent="0.2">
      <c r="B8" s="422" t="s">
        <v>453</v>
      </c>
      <c r="C8" s="79" t="s">
        <v>441</v>
      </c>
      <c r="D8" s="447">
        <f>SUMIFS(BasisProgramma[255],BasisProgramma[Element],$B8,BasisProgramma[Handeling],$C8)</f>
        <v>255</v>
      </c>
      <c r="E8" s="448">
        <f>SUMIFS(BasisProgramma[204],BasisProgramma[Element],$B8,BasisProgramma[Handeling],$C8)</f>
        <v>204</v>
      </c>
      <c r="F8" s="448">
        <f>SUMIFS(BasisProgramma[156],BasisProgramma[Element],$B8,BasisProgramma[Handeling],$C8)</f>
        <v>156</v>
      </c>
      <c r="G8" s="448">
        <f>SUMIFS(BasisProgramma[104],BasisProgramma[Element],$B8,BasisProgramma[Handeling],$C8)</f>
        <v>104</v>
      </c>
      <c r="H8" s="448">
        <f>SUMIFS(BasisProgramma[52],BasisProgramma[Element],$B8,BasisProgramma[Handeling],$C8)</f>
        <v>52</v>
      </c>
      <c r="I8" s="461">
        <f>SUMIFS(BasisProgramma[4],BasisProgramma[Element],$B8,BasisProgramma[Handeling],$C8)</f>
        <v>4</v>
      </c>
      <c r="J8" s="449"/>
    </row>
    <row r="9" spans="2:10" x14ac:dyDescent="0.2">
      <c r="B9" s="422" t="s">
        <v>485</v>
      </c>
      <c r="C9" s="79" t="s">
        <v>428</v>
      </c>
      <c r="D9" s="447">
        <f>SUMIFS(BasisProgramma[255],BasisProgramma[Element],$B9,BasisProgramma[Handeling],$C9)</f>
        <v>52</v>
      </c>
      <c r="E9" s="448">
        <f>SUMIFS(BasisProgramma[204],BasisProgramma[Element],$B9,BasisProgramma[Handeling],$C9)</f>
        <v>52</v>
      </c>
      <c r="F9" s="448">
        <f>SUMIFS(BasisProgramma[156],BasisProgramma[Element],$B9,BasisProgramma[Handeling],$C9)</f>
        <v>52</v>
      </c>
      <c r="G9" s="448">
        <f>SUMIFS(BasisProgramma[104],BasisProgramma[Element],$B9,BasisProgramma[Handeling],$C9)</f>
        <v>12</v>
      </c>
      <c r="H9" s="448">
        <f>SUMIFS(BasisProgramma[52],BasisProgramma[Element],$B9,BasisProgramma[Handeling],$C9)</f>
        <v>12</v>
      </c>
      <c r="I9" s="461">
        <f>SUMIFS(BasisProgramma[4],BasisProgramma[Element],$B9,BasisProgramma[Handeling],$C9)</f>
        <v>4</v>
      </c>
      <c r="J9" s="449"/>
    </row>
    <row r="10" spans="2:10" x14ac:dyDescent="0.2">
      <c r="B10" s="422" t="s">
        <v>434</v>
      </c>
      <c r="C10" s="79" t="s">
        <v>435</v>
      </c>
      <c r="D10" s="447">
        <f>SUMIFS(BasisProgramma[255],BasisProgramma[Element],$B10,BasisProgramma[Handeling],$C10)</f>
        <v>203</v>
      </c>
      <c r="E10" s="448">
        <f>SUMIFS(BasisProgramma[204],BasisProgramma[Element],$B10,BasisProgramma[Handeling],$C10)</f>
        <v>152</v>
      </c>
      <c r="F10" s="448">
        <f>SUMIFS(BasisProgramma[156],BasisProgramma[Element],$B10,BasisProgramma[Handeling],$C10)</f>
        <v>104</v>
      </c>
      <c r="G10" s="448">
        <f>SUMIFS(BasisProgramma[104],BasisProgramma[Element],$B10,BasisProgramma[Handeling],$C10)</f>
        <v>98</v>
      </c>
      <c r="H10" s="448">
        <f>SUMIFS(BasisProgramma[52],BasisProgramma[Element],$B10,BasisProgramma[Handeling],$C10)</f>
        <v>46</v>
      </c>
      <c r="I10" s="461">
        <f>SUMIFS(BasisProgramma[4],BasisProgramma[Element],$B10,BasisProgramma[Handeling],$C10)</f>
        <v>0</v>
      </c>
      <c r="J10" s="449"/>
    </row>
    <row r="11" spans="2:10" x14ac:dyDescent="0.2">
      <c r="B11" s="422" t="s">
        <v>434</v>
      </c>
      <c r="C11" s="79" t="s">
        <v>429</v>
      </c>
      <c r="D11" s="447">
        <f>SUMIFS(BasisProgramma[255],BasisProgramma[Element],$B11,BasisProgramma[Handeling],$C11)</f>
        <v>52</v>
      </c>
      <c r="E11" s="448">
        <f>SUMIFS(BasisProgramma[204],BasisProgramma[Element],$B11,BasisProgramma[Handeling],$C11)</f>
        <v>52</v>
      </c>
      <c r="F11" s="448">
        <f>SUMIFS(BasisProgramma[156],BasisProgramma[Element],$B11,BasisProgramma[Handeling],$C11)</f>
        <v>52</v>
      </c>
      <c r="G11" s="448">
        <f>SUMIFS(BasisProgramma[104],BasisProgramma[Element],$B11,BasisProgramma[Handeling],$C11)</f>
        <v>12</v>
      </c>
      <c r="H11" s="448">
        <f>SUMIFS(BasisProgramma[52],BasisProgramma[Element],$B11,BasisProgramma[Handeling],$C11)</f>
        <v>12</v>
      </c>
      <c r="I11" s="461">
        <f>SUMIFS(BasisProgramma[4],BasisProgramma[Element],$B11,BasisProgramma[Handeling],$C11)</f>
        <v>4</v>
      </c>
      <c r="J11" s="449"/>
    </row>
    <row r="12" spans="2:10" x14ac:dyDescent="0.2">
      <c r="B12" s="422" t="s">
        <v>454</v>
      </c>
      <c r="C12" s="79" t="s">
        <v>439</v>
      </c>
      <c r="D12" s="447">
        <f>SUMIFS(BasisProgramma[255],BasisProgramma[Element],$B12,BasisProgramma[Handeling],$C12)</f>
        <v>52</v>
      </c>
      <c r="E12" s="448">
        <f>SUMIFS(BasisProgramma[204],BasisProgramma[Element],$B12,BasisProgramma[Handeling],$C12)</f>
        <v>52</v>
      </c>
      <c r="F12" s="448">
        <f>SUMIFS(BasisProgramma[156],BasisProgramma[Element],$B12,BasisProgramma[Handeling],$C12)</f>
        <v>52</v>
      </c>
      <c r="G12" s="448">
        <f>SUMIFS(BasisProgramma[104],BasisProgramma[Element],$B12,BasisProgramma[Handeling],$C12)</f>
        <v>12</v>
      </c>
      <c r="H12" s="448">
        <f>SUMIFS(BasisProgramma[52],BasisProgramma[Element],$B12,BasisProgramma[Handeling],$C12)</f>
        <v>6</v>
      </c>
      <c r="I12" s="461">
        <f>SUMIFS(BasisProgramma[4],BasisProgramma[Element],$B12,BasisProgramma[Handeling],$C12)</f>
        <v>4</v>
      </c>
      <c r="J12" s="449"/>
    </row>
    <row r="13" spans="2:10" x14ac:dyDescent="0.2">
      <c r="B13" s="422" t="s">
        <v>455</v>
      </c>
      <c r="C13" s="79" t="s">
        <v>456</v>
      </c>
      <c r="D13" s="447">
        <f>SUMIFS(BasisProgramma[255],BasisProgramma[Element],$B13,BasisProgramma[Handeling],$C13)</f>
        <v>52</v>
      </c>
      <c r="E13" s="448">
        <f>SUMIFS(BasisProgramma[204],BasisProgramma[Element],$B13,BasisProgramma[Handeling],$C13)</f>
        <v>52</v>
      </c>
      <c r="F13" s="448">
        <f>SUMIFS(BasisProgramma[156],BasisProgramma[Element],$B13,BasisProgramma[Handeling],$C13)</f>
        <v>52</v>
      </c>
      <c r="G13" s="448">
        <f>SUMIFS(BasisProgramma[104],BasisProgramma[Element],$B13,BasisProgramma[Handeling],$C13)</f>
        <v>12</v>
      </c>
      <c r="H13" s="448">
        <f>SUMIFS(BasisProgramma[52],BasisProgramma[Element],$B13,BasisProgramma[Handeling],$C13)</f>
        <v>12</v>
      </c>
      <c r="I13" s="461">
        <f>SUMIFS(BasisProgramma[4],BasisProgramma[Element],$B13,BasisProgramma[Handeling],$C13)</f>
        <v>4</v>
      </c>
      <c r="J13" s="449"/>
    </row>
    <row r="14" spans="2:10" x14ac:dyDescent="0.2">
      <c r="B14" s="422" t="s">
        <v>474</v>
      </c>
      <c r="C14" s="79" t="s">
        <v>429</v>
      </c>
      <c r="D14" s="447">
        <f>SUMIFS(BasisProgramma[255],BasisProgramma[Element],$B14,BasisProgramma[Handeling],$C14)</f>
        <v>52</v>
      </c>
      <c r="E14" s="448">
        <f>SUMIFS(BasisProgramma[204],BasisProgramma[Element],$B14,BasisProgramma[Handeling],$C14)</f>
        <v>52</v>
      </c>
      <c r="F14" s="448">
        <f>SUMIFS(BasisProgramma[156],BasisProgramma[Element],$B14,BasisProgramma[Handeling],$C14)</f>
        <v>52</v>
      </c>
      <c r="G14" s="448">
        <f>SUMIFS(BasisProgramma[104],BasisProgramma[Element],$B14,BasisProgramma[Handeling],$C14)</f>
        <v>52</v>
      </c>
      <c r="H14" s="448">
        <f>SUMIFS(BasisProgramma[52],BasisProgramma[Element],$B14,BasisProgramma[Handeling],$C14)</f>
        <v>52</v>
      </c>
      <c r="I14" s="461">
        <f>SUMIFS(BasisProgramma[4],BasisProgramma[Element],$B14,BasisProgramma[Handeling],$C14)</f>
        <v>4</v>
      </c>
      <c r="J14" s="449"/>
    </row>
    <row r="15" spans="2:10" x14ac:dyDescent="0.2">
      <c r="B15" s="422" t="s">
        <v>436</v>
      </c>
      <c r="C15" s="79" t="s">
        <v>429</v>
      </c>
      <c r="D15" s="447">
        <f>SUMIFS(BasisProgramma[255],BasisProgramma[Element],$B15,BasisProgramma[Handeling],$C15)</f>
        <v>52</v>
      </c>
      <c r="E15" s="448">
        <f>SUMIFS(BasisProgramma[204],BasisProgramma[Element],$B15,BasisProgramma[Handeling],$C15)</f>
        <v>52</v>
      </c>
      <c r="F15" s="448">
        <f>SUMIFS(BasisProgramma[156],BasisProgramma[Element],$B15,BasisProgramma[Handeling],$C15)</f>
        <v>52</v>
      </c>
      <c r="G15" s="448">
        <f>SUMIFS(BasisProgramma[104],BasisProgramma[Element],$B15,BasisProgramma[Handeling],$C15)</f>
        <v>52</v>
      </c>
      <c r="H15" s="448">
        <f>SUMIFS(BasisProgramma[52],BasisProgramma[Element],$B15,BasisProgramma[Handeling],$C15)</f>
        <v>52</v>
      </c>
      <c r="I15" s="461">
        <f>SUMIFS(BasisProgramma[4],BasisProgramma[Element],$B15,BasisProgramma[Handeling],$C15)</f>
        <v>4</v>
      </c>
      <c r="J15" s="449"/>
    </row>
    <row r="16" spans="2:10" x14ac:dyDescent="0.2">
      <c r="B16" s="422" t="s">
        <v>437</v>
      </c>
      <c r="C16" s="8" t="s">
        <v>738</v>
      </c>
      <c r="D16" s="450">
        <f>SUMIFS(BasisProgramma[255],BasisProgramma[Element],$B16,BasisProgramma[Handeling],$C16)</f>
        <v>251</v>
      </c>
      <c r="E16" s="451">
        <f>SUMIFS(BasisProgramma[204],BasisProgramma[Element],$B16,BasisProgramma[Handeling],$C16)</f>
        <v>200</v>
      </c>
      <c r="F16" s="451">
        <f>SUMIFS(BasisProgramma[156],BasisProgramma[Element],$B16,BasisProgramma[Handeling],$C16)</f>
        <v>152</v>
      </c>
      <c r="G16" s="451">
        <f>SUMIFS(BasisProgramma[104],BasisProgramma[Element],$B16,BasisProgramma[Handeling],$C16)</f>
        <v>100</v>
      </c>
      <c r="H16" s="451">
        <f>SUMIFS(BasisProgramma[52],BasisProgramma[Element],$B16,BasisProgramma[Handeling],$C16)</f>
        <v>50</v>
      </c>
      <c r="I16" s="462">
        <f>SUMIFS(BasisProgramma[4],BasisProgramma[Element],$B16,BasisProgramma[Handeling],$C16)</f>
        <v>0</v>
      </c>
      <c r="J16" s="452"/>
    </row>
    <row r="17" spans="2:10" x14ac:dyDescent="0.2">
      <c r="B17" s="422" t="s">
        <v>437</v>
      </c>
      <c r="C17" s="8" t="s">
        <v>739</v>
      </c>
      <c r="D17" s="450">
        <f>SUMIFS(BasisProgramma[255],BasisProgramma[Element],$B17,BasisProgramma[Handeling],$C17)</f>
        <v>40</v>
      </c>
      <c r="E17" s="451">
        <f>SUMIFS(BasisProgramma[204],BasisProgramma[Element],$B17,BasisProgramma[Handeling],$C17)</f>
        <v>40</v>
      </c>
      <c r="F17" s="451">
        <f>SUMIFS(BasisProgramma[156],BasisProgramma[Element],$B17,BasisProgramma[Handeling],$C17)</f>
        <v>40</v>
      </c>
      <c r="G17" s="451">
        <f>SUMIFS(BasisProgramma[104],BasisProgramma[Element],$B17,BasisProgramma[Handeling],$C17)</f>
        <v>40</v>
      </c>
      <c r="H17" s="451">
        <f>SUMIFS(BasisProgramma[52],BasisProgramma[Element],$B17,BasisProgramma[Handeling],$C17)</f>
        <v>40</v>
      </c>
      <c r="I17" s="462">
        <f>SUMIFS(BasisProgramma[4],BasisProgramma[Element],$B17,BasisProgramma[Handeling],$C17)</f>
        <v>0</v>
      </c>
      <c r="J17" s="452"/>
    </row>
    <row r="18" spans="2:10" x14ac:dyDescent="0.2">
      <c r="B18" s="422" t="s">
        <v>438</v>
      </c>
      <c r="C18" s="79" t="s">
        <v>439</v>
      </c>
      <c r="D18" s="450">
        <f>SUMIFS(BasisProgramma[255],BasisProgramma[Element],$B18,BasisProgramma[Handeling],$C18)</f>
        <v>8</v>
      </c>
      <c r="E18" s="451">
        <f>SUMIFS(BasisProgramma[204],BasisProgramma[Element],$B18,BasisProgramma[Handeling],$C18)</f>
        <v>8</v>
      </c>
      <c r="F18" s="451">
        <f>SUMIFS(BasisProgramma[156],BasisProgramma[Element],$B18,BasisProgramma[Handeling],$C18)</f>
        <v>8</v>
      </c>
      <c r="G18" s="451">
        <f>SUMIFS(BasisProgramma[104],BasisProgramma[Element],$B18,BasisProgramma[Handeling],$C18)</f>
        <v>8</v>
      </c>
      <c r="H18" s="451">
        <f>SUMIFS(BasisProgramma[52],BasisProgramma[Element],$B18,BasisProgramma[Handeling],$C18)</f>
        <v>4</v>
      </c>
      <c r="I18" s="462">
        <f>SUMIFS(BasisProgramma[4],BasisProgramma[Element],$B18,BasisProgramma[Handeling],$C18)</f>
        <v>0</v>
      </c>
      <c r="J18" s="452"/>
    </row>
    <row r="19" spans="2:10" x14ac:dyDescent="0.2">
      <c r="B19" s="422" t="s">
        <v>437</v>
      </c>
      <c r="C19" s="79" t="s">
        <v>429</v>
      </c>
      <c r="D19" s="450">
        <f>SUMIFS(BasisProgramma[255],BasisProgramma[Element],$B19,BasisProgramma[Handeling],$C19)</f>
        <v>4</v>
      </c>
      <c r="E19" s="451">
        <f>SUMIFS(BasisProgramma[204],BasisProgramma[Element],$B19,BasisProgramma[Handeling],$C19)</f>
        <v>4</v>
      </c>
      <c r="F19" s="451">
        <f>SUMIFS(BasisProgramma[156],BasisProgramma[Element],$B19,BasisProgramma[Handeling],$C19)</f>
        <v>4</v>
      </c>
      <c r="G19" s="451">
        <f>SUMIFS(BasisProgramma[104],BasisProgramma[Element],$B19,BasisProgramma[Handeling],$C19)</f>
        <v>4</v>
      </c>
      <c r="H19" s="451">
        <f>SUMIFS(BasisProgramma[52],BasisProgramma[Element],$B19,BasisProgramma[Handeling],$C19)</f>
        <v>2</v>
      </c>
      <c r="I19" s="462">
        <f>SUMIFS(BasisProgramma[4],BasisProgramma[Element],$B19,BasisProgramma[Handeling],$C19)</f>
        <v>4</v>
      </c>
      <c r="J19" s="452"/>
    </row>
    <row r="20" spans="2:10" x14ac:dyDescent="0.2">
      <c r="B20" s="422" t="s">
        <v>727</v>
      </c>
      <c r="C20" s="79" t="s">
        <v>441</v>
      </c>
      <c r="D20" s="447">
        <f>SUMIFS(BasisProgramma[255],BasisProgramma[Element],$B20,BasisProgramma[Handeling],$C20)</f>
        <v>52</v>
      </c>
      <c r="E20" s="448">
        <f>SUMIFS(BasisProgramma[204],BasisProgramma[Element],$B20,BasisProgramma[Handeling],$C20)</f>
        <v>52</v>
      </c>
      <c r="F20" s="448">
        <f>SUMIFS(BasisProgramma[156],BasisProgramma[Element],$B20,BasisProgramma[Handeling],$C20)</f>
        <v>12</v>
      </c>
      <c r="G20" s="448">
        <f>SUMIFS(BasisProgramma[104],BasisProgramma[Element],$B20,BasisProgramma[Handeling],$C20)</f>
        <v>12</v>
      </c>
      <c r="H20" s="448">
        <f>SUMIFS(BasisProgramma[52],BasisProgramma[Element],$B20,BasisProgramma[Handeling],$C20)</f>
        <v>12</v>
      </c>
      <c r="I20" s="461">
        <f>SUMIFS(BasisProgramma[4],BasisProgramma[Element],$B20,BasisProgramma[Handeling],$C20)</f>
        <v>4</v>
      </c>
      <c r="J20" s="449"/>
    </row>
    <row r="21" spans="2:10" x14ac:dyDescent="0.2">
      <c r="B21" s="422" t="s">
        <v>475</v>
      </c>
      <c r="C21" s="8" t="s">
        <v>738</v>
      </c>
      <c r="D21" s="450">
        <f>SUMIFS(BasisProgramma[255],BasisProgramma[Element],$B21,BasisProgramma[Handeling],$C21)</f>
        <v>251</v>
      </c>
      <c r="E21" s="451">
        <f>SUMIFS(BasisProgramma[204],BasisProgramma[Element],$B21,BasisProgramma[Handeling],$C21)</f>
        <v>200</v>
      </c>
      <c r="F21" s="451">
        <f>SUMIFS(BasisProgramma[156],BasisProgramma[Element],$B21,BasisProgramma[Handeling],$C21)</f>
        <v>152</v>
      </c>
      <c r="G21" s="451">
        <f>SUMIFS(BasisProgramma[104],BasisProgramma[Element],$B21,BasisProgramma[Handeling],$C21)</f>
        <v>100</v>
      </c>
      <c r="H21" s="451">
        <f>SUMIFS(BasisProgramma[52],BasisProgramma[Element],$B21,BasisProgramma[Handeling],$C21)</f>
        <v>50</v>
      </c>
      <c r="I21" s="462">
        <f>SUMIFS(BasisProgramma[4],BasisProgramma[Element],$B21,BasisProgramma[Handeling],$C21)</f>
        <v>0</v>
      </c>
      <c r="J21" s="452"/>
    </row>
    <row r="22" spans="2:10" x14ac:dyDescent="0.2">
      <c r="B22" s="422" t="s">
        <v>475</v>
      </c>
      <c r="C22" s="8" t="s">
        <v>739</v>
      </c>
      <c r="D22" s="450">
        <f>SUMIFS(BasisProgramma[255],BasisProgramma[Element],$B22,BasisProgramma[Handeling],$C22)</f>
        <v>40</v>
      </c>
      <c r="E22" s="451">
        <f>SUMIFS(BasisProgramma[204],BasisProgramma[Element],$B22,BasisProgramma[Handeling],$C22)</f>
        <v>40</v>
      </c>
      <c r="F22" s="451">
        <f>SUMIFS(BasisProgramma[156],BasisProgramma[Element],$B22,BasisProgramma[Handeling],$C22)</f>
        <v>40</v>
      </c>
      <c r="G22" s="451">
        <f>SUMIFS(BasisProgramma[104],BasisProgramma[Element],$B22,BasisProgramma[Handeling],$C22)</f>
        <v>40</v>
      </c>
      <c r="H22" s="451">
        <f>SUMIFS(BasisProgramma[52],BasisProgramma[Element],$B22,BasisProgramma[Handeling],$C22)</f>
        <v>40</v>
      </c>
      <c r="I22" s="462">
        <f>SUMIFS(BasisProgramma[4],BasisProgramma[Element],$B22,BasisProgramma[Handeling],$C22)</f>
        <v>0</v>
      </c>
      <c r="J22" s="452"/>
    </row>
    <row r="23" spans="2:10" x14ac:dyDescent="0.2">
      <c r="B23" s="422" t="s">
        <v>475</v>
      </c>
      <c r="C23" s="79" t="s">
        <v>439</v>
      </c>
      <c r="D23" s="450">
        <f>SUMIFS(BasisProgramma[255],BasisProgramma[Element],$B23,BasisProgramma[Handeling],$C23)</f>
        <v>8</v>
      </c>
      <c r="E23" s="451">
        <f>SUMIFS(BasisProgramma[204],BasisProgramma[Element],$B23,BasisProgramma[Handeling],$C23)</f>
        <v>8</v>
      </c>
      <c r="F23" s="451">
        <f>SUMIFS(BasisProgramma[156],BasisProgramma[Element],$B23,BasisProgramma[Handeling],$C23)</f>
        <v>8</v>
      </c>
      <c r="G23" s="451">
        <f>SUMIFS(BasisProgramma[104],BasisProgramma[Element],$B23,BasisProgramma[Handeling],$C23)</f>
        <v>8</v>
      </c>
      <c r="H23" s="451">
        <f>SUMIFS(BasisProgramma[52],BasisProgramma[Element],$B23,BasisProgramma[Handeling],$C23)</f>
        <v>4</v>
      </c>
      <c r="I23" s="462">
        <f>SUMIFS(BasisProgramma[4],BasisProgramma[Element],$B23,BasisProgramma[Handeling],$C23)</f>
        <v>0</v>
      </c>
      <c r="J23" s="452"/>
    </row>
    <row r="24" spans="2:10" x14ac:dyDescent="0.2">
      <c r="B24" s="422" t="s">
        <v>475</v>
      </c>
      <c r="C24" s="79" t="s">
        <v>429</v>
      </c>
      <c r="D24" s="450">
        <f>SUMIFS(BasisProgramma[255],BasisProgramma[Element],$B24,BasisProgramma[Handeling],$C24)</f>
        <v>4</v>
      </c>
      <c r="E24" s="451">
        <f>SUMIFS(BasisProgramma[204],BasisProgramma[Element],$B24,BasisProgramma[Handeling],$C24)</f>
        <v>4</v>
      </c>
      <c r="F24" s="451">
        <f>SUMIFS(BasisProgramma[156],BasisProgramma[Element],$B24,BasisProgramma[Handeling],$C24)</f>
        <v>4</v>
      </c>
      <c r="G24" s="451">
        <f>SUMIFS(BasisProgramma[104],BasisProgramma[Element],$B24,BasisProgramma[Handeling],$C24)</f>
        <v>4</v>
      </c>
      <c r="H24" s="451">
        <f>SUMIFS(BasisProgramma[52],BasisProgramma[Element],$B24,BasisProgramma[Handeling],$C24)</f>
        <v>2</v>
      </c>
      <c r="I24" s="462">
        <f>SUMIFS(BasisProgramma[4],BasisProgramma[Element],$B24,BasisProgramma[Handeling],$C24)</f>
        <v>4</v>
      </c>
      <c r="J24" s="452"/>
    </row>
    <row r="25" spans="2:10" x14ac:dyDescent="0.2">
      <c r="B25" s="422" t="s">
        <v>476</v>
      </c>
      <c r="C25" s="79" t="s">
        <v>441</v>
      </c>
      <c r="D25" s="447">
        <f>SUMIFS(BasisProgramma[255],BasisProgramma[Element],$B25,BasisProgramma[Handeling],$C25)</f>
        <v>52</v>
      </c>
      <c r="E25" s="448">
        <f>SUMIFS(BasisProgramma[204],BasisProgramma[Element],$B25,BasisProgramma[Handeling],$C25)</f>
        <v>52</v>
      </c>
      <c r="F25" s="448">
        <f>SUMIFS(BasisProgramma[156],BasisProgramma[Element],$B25,BasisProgramma[Handeling],$C25)</f>
        <v>52</v>
      </c>
      <c r="G25" s="448">
        <f>SUMIFS(BasisProgramma[104],BasisProgramma[Element],$B25,BasisProgramma[Handeling],$C25)</f>
        <v>12</v>
      </c>
      <c r="H25" s="448">
        <f>SUMIFS(BasisProgramma[52],BasisProgramma[Element],$B25,BasisProgramma[Handeling],$C25)</f>
        <v>12</v>
      </c>
      <c r="I25" s="461">
        <f>SUMIFS(BasisProgramma[4],BasisProgramma[Element],$B25,BasisProgramma[Handeling],$C25)</f>
        <v>4</v>
      </c>
      <c r="J25" s="449"/>
    </row>
    <row r="26" spans="2:10" x14ac:dyDescent="0.2">
      <c r="B26" s="422" t="s">
        <v>442</v>
      </c>
      <c r="C26" s="79" t="s">
        <v>443</v>
      </c>
      <c r="D26" s="447">
        <f>SUMIFS(BasisProgramma[255],BasisProgramma[Element],$B26,BasisProgramma[Handeling],$C26)</f>
        <v>2</v>
      </c>
      <c r="E26" s="448">
        <f>SUMIFS(BasisProgramma[204],BasisProgramma[Element],$B26,BasisProgramma[Handeling],$C26)</f>
        <v>2</v>
      </c>
      <c r="F26" s="448">
        <f>SUMIFS(BasisProgramma[156],BasisProgramma[Element],$B26,BasisProgramma[Handeling],$C26)</f>
        <v>2</v>
      </c>
      <c r="G26" s="448">
        <f>SUMIFS(BasisProgramma[104],BasisProgramma[Element],$B26,BasisProgramma[Handeling],$C26)</f>
        <v>2</v>
      </c>
      <c r="H26" s="448">
        <f>SUMIFS(BasisProgramma[52],BasisProgramma[Element],$B26,BasisProgramma[Handeling],$C26)</f>
        <v>2</v>
      </c>
      <c r="I26" s="461">
        <f>SUMIFS(BasisProgramma[4],BasisProgramma[Element],$B26,BasisProgramma[Handeling],$C26)</f>
        <v>2</v>
      </c>
      <c r="J26" s="449"/>
    </row>
    <row r="27" spans="2:10" x14ac:dyDescent="0.2">
      <c r="B27" s="422" t="s">
        <v>457</v>
      </c>
      <c r="C27" s="79" t="s">
        <v>441</v>
      </c>
      <c r="D27" s="447">
        <f>SUMIFS(BasisProgramma[255],BasisProgramma[Element],$B27,BasisProgramma[Handeling],$C27)</f>
        <v>2</v>
      </c>
      <c r="E27" s="448">
        <f>SUMIFS(BasisProgramma[204],BasisProgramma[Element],$B27,BasisProgramma[Handeling],$C27)</f>
        <v>2</v>
      </c>
      <c r="F27" s="448">
        <f>SUMIFS(BasisProgramma[156],BasisProgramma[Element],$B27,BasisProgramma[Handeling],$C27)</f>
        <v>2</v>
      </c>
      <c r="G27" s="448">
        <f>SUMIFS(BasisProgramma[104],BasisProgramma[Element],$B27,BasisProgramma[Handeling],$C27)</f>
        <v>2</v>
      </c>
      <c r="H27" s="448">
        <f>SUMIFS(BasisProgramma[52],BasisProgramma[Element],$B27,BasisProgramma[Handeling],$C27)</f>
        <v>2</v>
      </c>
      <c r="I27" s="461">
        <f>SUMIFS(BasisProgramma[4],BasisProgramma[Element],$B27,BasisProgramma[Handeling],$C27)</f>
        <v>2</v>
      </c>
      <c r="J27" s="449"/>
    </row>
    <row r="28" spans="2:10" x14ac:dyDescent="0.2">
      <c r="B28" s="422" t="s">
        <v>500</v>
      </c>
      <c r="C28" s="79" t="s">
        <v>428</v>
      </c>
      <c r="D28" s="447">
        <f>SUMIFS(BasisProgramma[255],BasisProgramma[Element],$B28,BasisProgramma[Handeling],$C28)</f>
        <v>243</v>
      </c>
      <c r="E28" s="448">
        <f>SUMIFS(BasisProgramma[204],BasisProgramma[Element],$B28,BasisProgramma[Handeling],$C28)</f>
        <v>192</v>
      </c>
      <c r="F28" s="448">
        <f>SUMIFS(BasisProgramma[156],BasisProgramma[Element],$B28,BasisProgramma[Handeling],$C28)</f>
        <v>144</v>
      </c>
      <c r="G28" s="448">
        <f>SUMIFS(BasisProgramma[104],BasisProgramma[Element],$B28,BasisProgramma[Handeling],$C28)</f>
        <v>92</v>
      </c>
      <c r="H28" s="448">
        <f>SUMIFS(BasisProgramma[52],BasisProgramma[Element],$B28,BasisProgramma[Handeling],$C28)</f>
        <v>46</v>
      </c>
      <c r="I28" s="461">
        <f>SUMIFS(BasisProgramma[4],BasisProgramma[Element],$B28,BasisProgramma[Handeling],$C28)</f>
        <v>0</v>
      </c>
      <c r="J28" s="449"/>
    </row>
    <row r="29" spans="2:10" x14ac:dyDescent="0.2">
      <c r="B29" s="422" t="s">
        <v>500</v>
      </c>
      <c r="C29" s="79" t="s">
        <v>452</v>
      </c>
      <c r="D29" s="447">
        <f>SUMIFS(BasisProgramma[255],BasisProgramma[Element],$B29,BasisProgramma[Handeling],$C29)</f>
        <v>12</v>
      </c>
      <c r="E29" s="448">
        <f>SUMIFS(BasisProgramma[204],BasisProgramma[Element],$B29,BasisProgramma[Handeling],$C29)</f>
        <v>12</v>
      </c>
      <c r="F29" s="448">
        <f>SUMIFS(BasisProgramma[156],BasisProgramma[Element],$B29,BasisProgramma[Handeling],$C29)</f>
        <v>12</v>
      </c>
      <c r="G29" s="448">
        <f>SUMIFS(BasisProgramma[104],BasisProgramma[Element],$B29,BasisProgramma[Handeling],$C29)</f>
        <v>12</v>
      </c>
      <c r="H29" s="448">
        <f>SUMIFS(BasisProgramma[52],BasisProgramma[Element],$B29,BasisProgramma[Handeling],$C29)</f>
        <v>6</v>
      </c>
      <c r="I29" s="461">
        <f>SUMIFS(BasisProgramma[4],BasisProgramma[Element],$B29,BasisProgramma[Handeling],$C29)</f>
        <v>4</v>
      </c>
      <c r="J29" s="449"/>
    </row>
    <row r="30" spans="2:10" x14ac:dyDescent="0.2">
      <c r="B30" s="422" t="s">
        <v>501</v>
      </c>
      <c r="C30" s="79" t="s">
        <v>441</v>
      </c>
      <c r="D30" s="447">
        <f>SUMIFS(BasisProgramma[255],BasisProgramma[Element],$B30,BasisProgramma[Handeling],$C30)</f>
        <v>52</v>
      </c>
      <c r="E30" s="448">
        <f>SUMIFS(BasisProgramma[204],BasisProgramma[Element],$B30,BasisProgramma[Handeling],$C30)</f>
        <v>52</v>
      </c>
      <c r="F30" s="448">
        <f>SUMIFS(BasisProgramma[156],BasisProgramma[Element],$B30,BasisProgramma[Handeling],$C30)</f>
        <v>52</v>
      </c>
      <c r="G30" s="448">
        <f>SUMIFS(BasisProgramma[104],BasisProgramma[Element],$B30,BasisProgramma[Handeling],$C30)</f>
        <v>52</v>
      </c>
      <c r="H30" s="448">
        <f>SUMIFS(BasisProgramma[52],BasisProgramma[Element],$B30,BasisProgramma[Handeling],$C30)</f>
        <v>52</v>
      </c>
      <c r="I30" s="461">
        <f>SUMIFS(BasisProgramma[4],BasisProgramma[Element],$B30,BasisProgramma[Handeling],$C30)</f>
        <v>4</v>
      </c>
      <c r="J30" s="449"/>
    </row>
    <row r="31" spans="2:10" x14ac:dyDescent="0.2">
      <c r="B31" s="422" t="s">
        <v>487</v>
      </c>
      <c r="C31" s="79" t="s">
        <v>428</v>
      </c>
      <c r="D31" s="447">
        <f>SUMIFS(BasisProgramma[255],BasisProgramma[Element],$B31,BasisProgramma[Handeling],$C31)</f>
        <v>255</v>
      </c>
      <c r="E31" s="448">
        <f>SUMIFS(BasisProgramma[204],BasisProgramma[Element],$B31,BasisProgramma[Handeling],$C31)</f>
        <v>204</v>
      </c>
      <c r="F31" s="448">
        <f>SUMIFS(BasisProgramma[156],BasisProgramma[Element],$B31,BasisProgramma[Handeling],$C31)</f>
        <v>156</v>
      </c>
      <c r="G31" s="448">
        <f>SUMIFS(BasisProgramma[104],BasisProgramma[Element],$B31,BasisProgramma[Handeling],$C31)</f>
        <v>104</v>
      </c>
      <c r="H31" s="448">
        <f>SUMIFS(BasisProgramma[52],BasisProgramma[Element],$B31,BasisProgramma[Handeling],$C31)</f>
        <v>52</v>
      </c>
      <c r="I31" s="461">
        <f>SUMIFS(BasisProgramma[4],BasisProgramma[Element],$B31,BasisProgramma[Handeling],$C31)</f>
        <v>4</v>
      </c>
      <c r="J31" s="449"/>
    </row>
    <row r="32" spans="2:10" x14ac:dyDescent="0.2">
      <c r="B32" s="422" t="s">
        <v>444</v>
      </c>
      <c r="C32" s="79" t="s">
        <v>435</v>
      </c>
      <c r="D32" s="447">
        <f>SUMIFS(BasisProgramma[255],BasisProgramma[Element],$B32,BasisProgramma[Handeling],$C32)</f>
        <v>255</v>
      </c>
      <c r="E32" s="448">
        <f>SUMIFS(BasisProgramma[204],BasisProgramma[Element],$B32,BasisProgramma[Handeling],$C32)</f>
        <v>204</v>
      </c>
      <c r="F32" s="448">
        <f>SUMIFS(BasisProgramma[156],BasisProgramma[Element],$B32,BasisProgramma[Handeling],$C32)</f>
        <v>156</v>
      </c>
      <c r="G32" s="448">
        <f>SUMIFS(BasisProgramma[104],BasisProgramma[Element],$B32,BasisProgramma[Handeling],$C32)</f>
        <v>104</v>
      </c>
      <c r="H32" s="448">
        <f>SUMIFS(BasisProgramma[52],BasisProgramma[Element],$B32,BasisProgramma[Handeling],$C32)</f>
        <v>52</v>
      </c>
      <c r="I32" s="461">
        <f>SUMIFS(BasisProgramma[4],BasisProgramma[Element],$B32,BasisProgramma[Handeling],$C32)</f>
        <v>4</v>
      </c>
      <c r="J32" s="449"/>
    </row>
    <row r="33" spans="2:10" x14ac:dyDescent="0.2">
      <c r="B33" s="422" t="s">
        <v>445</v>
      </c>
      <c r="C33" s="79" t="s">
        <v>446</v>
      </c>
      <c r="D33" s="447">
        <f>SUMIFS(BasisProgramma[255],BasisProgramma[Element],$B33,BasisProgramma[Handeling],$C33)</f>
        <v>255</v>
      </c>
      <c r="E33" s="448">
        <f>SUMIFS(BasisProgramma[204],BasisProgramma[Element],$B33,BasisProgramma[Handeling],$C33)</f>
        <v>204</v>
      </c>
      <c r="F33" s="448">
        <f>SUMIFS(BasisProgramma[156],BasisProgramma[Element],$B33,BasisProgramma[Handeling],$C33)</f>
        <v>156</v>
      </c>
      <c r="G33" s="448">
        <f>SUMIFS(BasisProgramma[104],BasisProgramma[Element],$B33,BasisProgramma[Handeling],$C33)</f>
        <v>104</v>
      </c>
      <c r="H33" s="448">
        <f>SUMIFS(BasisProgramma[52],BasisProgramma[Element],$B33,BasisProgramma[Handeling],$C33)</f>
        <v>52</v>
      </c>
      <c r="I33" s="461">
        <f>SUMIFS(BasisProgramma[4],BasisProgramma[Element],$B33,BasisProgramma[Handeling],$C33)</f>
        <v>4</v>
      </c>
      <c r="J33" s="449"/>
    </row>
    <row r="34" spans="2:10" x14ac:dyDescent="0.2">
      <c r="B34" s="422" t="s">
        <v>495</v>
      </c>
      <c r="C34" s="79" t="s">
        <v>496</v>
      </c>
      <c r="D34" s="447">
        <f>SUMIFS(BasisProgramma[255],BasisProgramma[Element],$B34,BasisProgramma[Handeling],$C34)</f>
        <v>203</v>
      </c>
      <c r="E34" s="448">
        <f>SUMIFS(BasisProgramma[204],BasisProgramma[Element],$B34,BasisProgramma[Handeling],$C34)</f>
        <v>152</v>
      </c>
      <c r="F34" s="448">
        <f>SUMIFS(BasisProgramma[156],BasisProgramma[Element],$B34,BasisProgramma[Handeling],$C34)</f>
        <v>104</v>
      </c>
      <c r="G34" s="448">
        <f>SUMIFS(BasisProgramma[104],BasisProgramma[Element],$B34,BasisProgramma[Handeling],$C34)</f>
        <v>92</v>
      </c>
      <c r="H34" s="448">
        <f>SUMIFS(BasisProgramma[52],BasisProgramma[Element],$B34,BasisProgramma[Handeling],$C34)</f>
        <v>40</v>
      </c>
      <c r="I34" s="461">
        <f>SUMIFS(BasisProgramma[4],BasisProgramma[Element],$B34,BasisProgramma[Handeling],$C34)</f>
        <v>0</v>
      </c>
      <c r="J34" s="449"/>
    </row>
    <row r="35" spans="2:10" ht="10.5" customHeight="1" x14ac:dyDescent="0.2">
      <c r="B35" s="422" t="s">
        <v>495</v>
      </c>
      <c r="C35" s="79" t="s">
        <v>497</v>
      </c>
      <c r="D35" s="447">
        <f>SUMIFS(BasisProgramma[255],BasisProgramma[Element],$B35,BasisProgramma[Handeling],$C35)</f>
        <v>52</v>
      </c>
      <c r="E35" s="448">
        <f>SUMIFS(BasisProgramma[204],BasisProgramma[Element],$B35,BasisProgramma[Handeling],$C35)</f>
        <v>52</v>
      </c>
      <c r="F35" s="448">
        <f>SUMIFS(BasisProgramma[156],BasisProgramma[Element],$B35,BasisProgramma[Handeling],$C35)</f>
        <v>52</v>
      </c>
      <c r="G35" s="448">
        <f>SUMIFS(BasisProgramma[104],BasisProgramma[Element],$B35,BasisProgramma[Handeling],$C35)</f>
        <v>12</v>
      </c>
      <c r="H35" s="448">
        <f>SUMIFS(BasisProgramma[52],BasisProgramma[Element],$B35,BasisProgramma[Handeling],$C35)</f>
        <v>12</v>
      </c>
      <c r="I35" s="461">
        <f>SUMIFS(BasisProgramma[4],BasisProgramma[Element],$B35,BasisProgramma[Handeling],$C35)</f>
        <v>4</v>
      </c>
      <c r="J35" s="449"/>
    </row>
    <row r="36" spans="2:10" x14ac:dyDescent="0.2">
      <c r="B36" s="422" t="s">
        <v>448</v>
      </c>
      <c r="C36" s="79" t="s">
        <v>428</v>
      </c>
      <c r="D36" s="447">
        <f>SUMIFS(BasisProgramma[255],BasisProgramma[Element],$B36,BasisProgramma[Handeling],$C36)</f>
        <v>40</v>
      </c>
      <c r="E36" s="448">
        <f>SUMIFS(BasisProgramma[204],BasisProgramma[Element],$B36,BasisProgramma[Handeling],$C36)</f>
        <v>40</v>
      </c>
      <c r="F36" s="448">
        <f>SUMIFS(BasisProgramma[156],BasisProgramma[Element],$B36,BasisProgramma[Handeling],$C36)</f>
        <v>40</v>
      </c>
      <c r="G36" s="448">
        <f>SUMIFS(BasisProgramma[104],BasisProgramma[Element],$B36,BasisProgramma[Handeling],$C36)</f>
        <v>40</v>
      </c>
      <c r="H36" s="448">
        <f>SUMIFS(BasisProgramma[52],BasisProgramma[Element],$B36,BasisProgramma[Handeling],$C36)</f>
        <v>40</v>
      </c>
      <c r="I36" s="461">
        <f>SUMIFS(BasisProgramma[4],BasisProgramma[Element],$B36,BasisProgramma[Handeling],$C36)</f>
        <v>0</v>
      </c>
      <c r="J36" s="449"/>
    </row>
    <row r="37" spans="2:10" x14ac:dyDescent="0.2">
      <c r="B37" s="422" t="s">
        <v>448</v>
      </c>
      <c r="C37" s="79" t="s">
        <v>452</v>
      </c>
      <c r="D37" s="447">
        <f>SUMIFS(BasisProgramma[255],BasisProgramma[Element],$B37,BasisProgramma[Handeling],$C37)</f>
        <v>12</v>
      </c>
      <c r="E37" s="448">
        <f>SUMIFS(BasisProgramma[204],BasisProgramma[Element],$B37,BasisProgramma[Handeling],$C37)</f>
        <v>12</v>
      </c>
      <c r="F37" s="448">
        <f>SUMIFS(BasisProgramma[156],BasisProgramma[Element],$B37,BasisProgramma[Handeling],$C37)</f>
        <v>12</v>
      </c>
      <c r="G37" s="448">
        <f>SUMIFS(BasisProgramma[104],BasisProgramma[Element],$B37,BasisProgramma[Handeling],$C37)</f>
        <v>12</v>
      </c>
      <c r="H37" s="448">
        <f>SUMIFS(BasisProgramma[52],BasisProgramma[Element],$B37,BasisProgramma[Handeling],$C37)</f>
        <v>12</v>
      </c>
      <c r="I37" s="461">
        <f>SUMIFS(BasisProgramma[4],BasisProgramma[Element],$B37,BasisProgramma[Handeling],$C37)</f>
        <v>4</v>
      </c>
      <c r="J37" s="449"/>
    </row>
    <row r="38" spans="2:10" x14ac:dyDescent="0.2">
      <c r="B38" s="422" t="s">
        <v>481</v>
      </c>
      <c r="C38" s="79" t="s">
        <v>499</v>
      </c>
      <c r="D38" s="447">
        <f>SUMIFS(BasisProgramma[255],BasisProgramma[Element],$B38,BasisProgramma[Handeling],$C38)</f>
        <v>104</v>
      </c>
      <c r="E38" s="448">
        <f>SUMIFS(BasisProgramma[204],BasisProgramma[Element],$B38,BasisProgramma[Handeling],$C38)</f>
        <v>104</v>
      </c>
      <c r="F38" s="448">
        <f>SUMIFS(BasisProgramma[156],BasisProgramma[Element],$B38,BasisProgramma[Handeling],$C38)</f>
        <v>104</v>
      </c>
      <c r="G38" s="448">
        <f>SUMIFS(BasisProgramma[104],BasisProgramma[Element],$B38,BasisProgramma[Handeling],$C38)</f>
        <v>52</v>
      </c>
      <c r="H38" s="448">
        <f>SUMIFS(BasisProgramma[52],BasisProgramma[Element],$B38,BasisProgramma[Handeling],$C38)</f>
        <v>0</v>
      </c>
      <c r="I38" s="461">
        <f>SUMIFS(BasisProgramma[4],BasisProgramma[Element],$B38,BasisProgramma[Handeling],$C38)</f>
        <v>0</v>
      </c>
      <c r="J38" s="449"/>
    </row>
    <row r="39" spans="2:10" x14ac:dyDescent="0.2">
      <c r="B39" s="422" t="s">
        <v>449</v>
      </c>
      <c r="C39" s="79" t="s">
        <v>441</v>
      </c>
      <c r="D39" s="447">
        <f>SUMIFS(BasisProgramma[255],BasisProgramma[Element],$B39,BasisProgramma[Handeling],$C39)</f>
        <v>52</v>
      </c>
      <c r="E39" s="448">
        <f>SUMIFS(BasisProgramma[204],BasisProgramma[Element],$B39,BasisProgramma[Handeling],$C39)</f>
        <v>52</v>
      </c>
      <c r="F39" s="448">
        <f>SUMIFS(BasisProgramma[156],BasisProgramma[Element],$B39,BasisProgramma[Handeling],$C39)</f>
        <v>52</v>
      </c>
      <c r="G39" s="448">
        <f>SUMIFS(BasisProgramma[104],BasisProgramma[Element],$B39,BasisProgramma[Handeling],$C39)</f>
        <v>52</v>
      </c>
      <c r="H39" s="448">
        <f>SUMIFS(BasisProgramma[52],BasisProgramma[Element],$B39,BasisProgramma[Handeling],$C39)</f>
        <v>52</v>
      </c>
      <c r="I39" s="461">
        <f>SUMIFS(BasisProgramma[4],BasisProgramma[Element],$B39,BasisProgramma[Handeling],$C39)</f>
        <v>4</v>
      </c>
      <c r="J39" s="449"/>
    </row>
    <row r="40" spans="2:10" x14ac:dyDescent="0.2">
      <c r="B40" s="422" t="s">
        <v>450</v>
      </c>
      <c r="C40" s="79" t="s">
        <v>428</v>
      </c>
      <c r="D40" s="447">
        <f>SUMIFS(BasisProgramma[255],BasisProgramma[Element],$B40,BasisProgramma[Handeling],$C40)</f>
        <v>40</v>
      </c>
      <c r="E40" s="448">
        <f>SUMIFS(BasisProgramma[204],BasisProgramma[Element],$B40,BasisProgramma[Handeling],$C40)</f>
        <v>40</v>
      </c>
      <c r="F40" s="448">
        <f>SUMIFS(BasisProgramma[156],BasisProgramma[Element],$B40,BasisProgramma[Handeling],$C40)</f>
        <v>40</v>
      </c>
      <c r="G40" s="448">
        <f>SUMIFS(BasisProgramma[104],BasisProgramma[Element],$B40,BasisProgramma[Handeling],$C40)</f>
        <v>40</v>
      </c>
      <c r="H40" s="448">
        <f>SUMIFS(BasisProgramma[52],BasisProgramma[Element],$B40,BasisProgramma[Handeling],$C40)</f>
        <v>40</v>
      </c>
      <c r="I40" s="461">
        <f>SUMIFS(BasisProgramma[4],BasisProgramma[Element],$B40,BasisProgramma[Handeling],$C40)</f>
        <v>0</v>
      </c>
      <c r="J40" s="449"/>
    </row>
    <row r="41" spans="2:10" x14ac:dyDescent="0.2">
      <c r="B41" s="422" t="s">
        <v>450</v>
      </c>
      <c r="C41" s="79" t="s">
        <v>429</v>
      </c>
      <c r="D41" s="447">
        <f>SUMIFS(BasisProgramma[255],BasisProgramma[Element],$B41,BasisProgramma[Handeling],$C41)</f>
        <v>12</v>
      </c>
      <c r="E41" s="448">
        <f>SUMIFS(BasisProgramma[204],BasisProgramma[Element],$B41,BasisProgramma[Handeling],$C41)</f>
        <v>12</v>
      </c>
      <c r="F41" s="448">
        <f>SUMIFS(BasisProgramma[156],BasisProgramma[Element],$B41,BasisProgramma[Handeling],$C41)</f>
        <v>12</v>
      </c>
      <c r="G41" s="448">
        <f>SUMIFS(BasisProgramma[104],BasisProgramma[Element],$B41,BasisProgramma[Handeling],$C41)</f>
        <v>12</v>
      </c>
      <c r="H41" s="448">
        <f>SUMIFS(BasisProgramma[52],BasisProgramma[Element],$B41,BasisProgramma[Handeling],$C41)</f>
        <v>12</v>
      </c>
      <c r="I41" s="461">
        <f>SUMIFS(BasisProgramma[4],BasisProgramma[Element],$B41,BasisProgramma[Handeling],$C41)</f>
        <v>4</v>
      </c>
      <c r="J41" s="449"/>
    </row>
    <row r="42" spans="2:10" x14ac:dyDescent="0.2">
      <c r="B42" s="422" t="s">
        <v>744</v>
      </c>
      <c r="C42" s="78" t="s">
        <v>742</v>
      </c>
      <c r="D42" s="447">
        <f>SUMIFS(BasisProgramma[255],BasisProgramma[Element],$B42,BasisProgramma[Handeling],$C42)</f>
        <v>255</v>
      </c>
      <c r="E42" s="448">
        <f>SUMIFS(BasisProgramma[204],BasisProgramma[Element],$B42,BasisProgramma[Handeling],$C42)</f>
        <v>204</v>
      </c>
      <c r="F42" s="448">
        <f>SUMIFS(BasisProgramma[156],BasisProgramma[Element],$B42,BasisProgramma[Handeling],$C42)</f>
        <v>156</v>
      </c>
      <c r="G42" s="448">
        <f>SUMIFS(BasisProgramma[104],BasisProgramma[Element],$B42,BasisProgramma[Handeling],$C42)</f>
        <v>104</v>
      </c>
      <c r="H42" s="448">
        <f>SUMIFS(BasisProgramma[52],BasisProgramma[Element],$B42,BasisProgramma[Handeling],$C42)</f>
        <v>52</v>
      </c>
      <c r="I42" s="461">
        <f>SUMIFS(BasisProgramma[4],BasisProgramma[Element],$B42,BasisProgramma[Handeling],$C42)</f>
        <v>4</v>
      </c>
      <c r="J42" s="449"/>
    </row>
    <row r="43" spans="2:10" x14ac:dyDescent="0.2">
      <c r="B43" s="422" t="s">
        <v>744</v>
      </c>
      <c r="C43" s="78" t="s">
        <v>483</v>
      </c>
      <c r="D43" s="447">
        <f>SUMIFS(BasisProgramma[255],BasisProgramma[Element],$B43,BasisProgramma[Handeling],$C43)</f>
        <v>52</v>
      </c>
      <c r="E43" s="448">
        <f>SUMIFS(BasisProgramma[204],BasisProgramma[Element],$B43,BasisProgramma[Handeling],$C43)</f>
        <v>52</v>
      </c>
      <c r="F43" s="448">
        <f>SUMIFS(BasisProgramma[156],BasisProgramma[Element],$B43,BasisProgramma[Handeling],$C43)</f>
        <v>52</v>
      </c>
      <c r="G43" s="448">
        <f>SUMIFS(BasisProgramma[104],BasisProgramma[Element],$B43,BasisProgramma[Handeling],$C43)</f>
        <v>52</v>
      </c>
      <c r="H43" s="448">
        <f>SUMIFS(BasisProgramma[52],BasisProgramma[Element],$B43,BasisProgramma[Handeling],$C43)</f>
        <v>52</v>
      </c>
      <c r="I43" s="461">
        <f>SUMIFS(BasisProgramma[4],BasisProgramma[Element],$B43,BasisProgramma[Handeling],$C43)</f>
        <v>4</v>
      </c>
      <c r="J43" s="449"/>
    </row>
    <row r="44" spans="2:10" x14ac:dyDescent="0.2">
      <c r="B44" s="422" t="s">
        <v>744</v>
      </c>
      <c r="C44" s="78" t="s">
        <v>741</v>
      </c>
      <c r="D44" s="447">
        <f>SUMIFS(BasisProgramma[255],BasisProgramma[Element],$B44,BasisProgramma[Handeling],$C44)</f>
        <v>4</v>
      </c>
      <c r="E44" s="448">
        <f>SUMIFS(BasisProgramma[204],BasisProgramma[Element],$B44,BasisProgramma[Handeling],$C44)</f>
        <v>4</v>
      </c>
      <c r="F44" s="448">
        <f>SUMIFS(BasisProgramma[156],BasisProgramma[Element],$B44,BasisProgramma[Handeling],$C44)</f>
        <v>4</v>
      </c>
      <c r="G44" s="448">
        <f>SUMIFS(BasisProgramma[104],BasisProgramma[Element],$B44,BasisProgramma[Handeling],$C44)</f>
        <v>4</v>
      </c>
      <c r="H44" s="448">
        <f>SUMIFS(BasisProgramma[52],BasisProgramma[Element],$B44,BasisProgramma[Handeling],$C44)</f>
        <v>4</v>
      </c>
      <c r="I44" s="461">
        <f>SUMIFS(BasisProgramma[4],BasisProgramma[Element],$B44,BasisProgramma[Handeling],$C44)</f>
        <v>4</v>
      </c>
      <c r="J44" s="449"/>
    </row>
    <row r="45" spans="2:10" x14ac:dyDescent="0.2">
      <c r="B45" s="422" t="s">
        <v>746</v>
      </c>
      <c r="C45" s="79" t="s">
        <v>743</v>
      </c>
      <c r="D45" s="447">
        <f>SUMIFS(BasisProgramma[255],BasisProgramma[Element],$B45,BasisProgramma[Handeling],$C45)</f>
        <v>255</v>
      </c>
      <c r="E45" s="448">
        <f>SUMIFS(BasisProgramma[204],BasisProgramma[Element],$B45,BasisProgramma[Handeling],$C45)</f>
        <v>204</v>
      </c>
      <c r="F45" s="448">
        <f>SUMIFS(BasisProgramma[156],BasisProgramma[Element],$B45,BasisProgramma[Handeling],$C45)</f>
        <v>156</v>
      </c>
      <c r="G45" s="448">
        <f>SUMIFS(BasisProgramma[104],BasisProgramma[Element],$B45,BasisProgramma[Handeling],$C45)</f>
        <v>104</v>
      </c>
      <c r="H45" s="448">
        <f>SUMIFS(BasisProgramma[52],BasisProgramma[Element],$B45,BasisProgramma[Handeling],$C45)</f>
        <v>52</v>
      </c>
      <c r="I45" s="461">
        <f>SUMIFS(BasisProgramma[4],BasisProgramma[Element],$B45,BasisProgramma[Handeling],$C45)</f>
        <v>4</v>
      </c>
      <c r="J45" s="449"/>
    </row>
    <row r="46" spans="2:10" x14ac:dyDescent="0.2">
      <c r="B46" s="422" t="s">
        <v>746</v>
      </c>
      <c r="C46" s="79" t="s">
        <v>483</v>
      </c>
      <c r="D46" s="447">
        <f>SUMIFS(BasisProgramma[255],BasisProgramma[Element],$B46,BasisProgramma[Handeling],$C46)</f>
        <v>52</v>
      </c>
      <c r="E46" s="448">
        <f>SUMIFS(BasisProgramma[204],BasisProgramma[Element],$B46,BasisProgramma[Handeling],$C46)</f>
        <v>52</v>
      </c>
      <c r="F46" s="448">
        <f>SUMIFS(BasisProgramma[156],BasisProgramma[Element],$B46,BasisProgramma[Handeling],$C46)</f>
        <v>52</v>
      </c>
      <c r="G46" s="448">
        <f>SUMIFS(BasisProgramma[104],BasisProgramma[Element],$B46,BasisProgramma[Handeling],$C46)</f>
        <v>52</v>
      </c>
      <c r="H46" s="448">
        <f>SUMIFS(BasisProgramma[52],BasisProgramma[Element],$B46,BasisProgramma[Handeling],$C46)</f>
        <v>52</v>
      </c>
      <c r="I46" s="461">
        <f>SUMIFS(BasisProgramma[4],BasisProgramma[Element],$B46,BasisProgramma[Handeling],$C46)</f>
        <v>4</v>
      </c>
      <c r="J46" s="449"/>
    </row>
    <row r="47" spans="2:10" x14ac:dyDescent="0.2">
      <c r="B47" s="422" t="s">
        <v>747</v>
      </c>
      <c r="C47" s="79" t="s">
        <v>748</v>
      </c>
      <c r="D47" s="447">
        <f>SUMIFS(BasisProgramma[255],BasisProgramma[Element],$B47,BasisProgramma[Handeling],$C47)</f>
        <v>2</v>
      </c>
      <c r="E47" s="448">
        <f>SUMIFS(BasisProgramma[204],BasisProgramma[Element],$B47,BasisProgramma[Handeling],$C47)</f>
        <v>2</v>
      </c>
      <c r="F47" s="448">
        <f>SUMIFS(BasisProgramma[156],BasisProgramma[Element],$B47,BasisProgramma[Handeling],$C47)</f>
        <v>2</v>
      </c>
      <c r="G47" s="448">
        <f>SUMIFS(BasisProgramma[104],BasisProgramma[Element],$B47,BasisProgramma[Handeling],$C47)</f>
        <v>2</v>
      </c>
      <c r="H47" s="448">
        <f>SUMIFS(BasisProgramma[52],BasisProgramma[Element],$B47,BasisProgramma[Handeling],$C47)</f>
        <v>2</v>
      </c>
      <c r="I47" s="461">
        <f>SUMIFS(BasisProgramma[4],BasisProgramma[Element],$B47,BasisProgramma[Handeling],$C47)</f>
        <v>2</v>
      </c>
      <c r="J47" s="449"/>
    </row>
    <row r="48" spans="2:10" x14ac:dyDescent="0.2">
      <c r="B48" s="422" t="s">
        <v>745</v>
      </c>
      <c r="C48" s="79" t="s">
        <v>482</v>
      </c>
      <c r="D48" s="447">
        <f>SUMIFS(BasisProgramma[255],BasisProgramma[Element],$B48,BasisProgramma[Handeling],$C48)</f>
        <v>255</v>
      </c>
      <c r="E48" s="448">
        <f>SUMIFS(BasisProgramma[204],BasisProgramma[Element],$B48,BasisProgramma[Handeling],$C48)</f>
        <v>204</v>
      </c>
      <c r="F48" s="448">
        <f>SUMIFS(BasisProgramma[156],BasisProgramma[Element],$B48,BasisProgramma[Handeling],$C48)</f>
        <v>156</v>
      </c>
      <c r="G48" s="448">
        <f>SUMIFS(BasisProgramma[104],BasisProgramma[Element],$B48,BasisProgramma[Handeling],$C48)</f>
        <v>104</v>
      </c>
      <c r="H48" s="448">
        <f>SUMIFS(BasisProgramma[52],BasisProgramma[Element],$B48,BasisProgramma[Handeling],$C48)</f>
        <v>52</v>
      </c>
      <c r="I48" s="461">
        <f>SUMIFS(BasisProgramma[4],BasisProgramma[Element],$B48,BasisProgramma[Handeling],$C48)</f>
        <v>4</v>
      </c>
      <c r="J48" s="449"/>
    </row>
    <row r="49" spans="2:10" x14ac:dyDescent="0.2">
      <c r="B49" s="422" t="s">
        <v>745</v>
      </c>
      <c r="C49" s="79" t="s">
        <v>483</v>
      </c>
      <c r="D49" s="524">
        <v>52</v>
      </c>
      <c r="E49" s="525">
        <v>52</v>
      </c>
      <c r="F49" s="448">
        <f>SUMIFS(BasisProgramma[156],BasisProgramma[Element],$B49,BasisProgramma[Handeling],$C49)</f>
        <v>156</v>
      </c>
      <c r="G49" s="448">
        <f>SUMIFS(BasisProgramma[104],BasisProgramma[Element],$B49,BasisProgramma[Handeling],$C49)</f>
        <v>104</v>
      </c>
      <c r="H49" s="448">
        <f>SUMIFS(BasisProgramma[52],BasisProgramma[Element],$B49,BasisProgramma[Handeling],$C49)</f>
        <v>52</v>
      </c>
      <c r="I49" s="461">
        <f>SUMIFS(BasisProgramma[4],BasisProgramma[Element],$B49,BasisProgramma[Handeling],$C49)</f>
        <v>0</v>
      </c>
      <c r="J49" s="449"/>
    </row>
    <row r="50" spans="2:10" x14ac:dyDescent="0.2">
      <c r="B50" s="422" t="s">
        <v>745</v>
      </c>
      <c r="C50" s="79" t="s">
        <v>484</v>
      </c>
      <c r="D50" s="524">
        <v>12</v>
      </c>
      <c r="E50" s="525">
        <v>12</v>
      </c>
      <c r="F50" s="448">
        <f>SUMIFS(BasisProgramma[156],BasisProgramma[Element],$B50,BasisProgramma[Handeling],$C50)</f>
        <v>52</v>
      </c>
      <c r="G50" s="448">
        <f>SUMIFS(BasisProgramma[104],BasisProgramma[Element],$B50,BasisProgramma[Handeling],$C50)</f>
        <v>52</v>
      </c>
      <c r="H50" s="448">
        <f>SUMIFS(BasisProgramma[52],BasisProgramma[Element],$B50,BasisProgramma[Handeling],$C50)</f>
        <v>52</v>
      </c>
      <c r="I50" s="461">
        <f>SUMIFS(BasisProgramma[4],BasisProgramma[Element],$B50,BasisProgramma[Handeling],$C50)</f>
        <v>4</v>
      </c>
      <c r="J50" s="449"/>
    </row>
    <row r="51" spans="2:10" x14ac:dyDescent="0.2">
      <c r="B51" s="422" t="s">
        <v>686</v>
      </c>
      <c r="C51" s="79" t="s">
        <v>749</v>
      </c>
      <c r="D51" s="447">
        <f>SUMIFS(BasisProgramma[255],BasisProgramma[Element],$B51,BasisProgramma[Handeling],$C51)</f>
        <v>203</v>
      </c>
      <c r="E51" s="448">
        <f>SUMIFS(BasisProgramma[204],BasisProgramma[Element],$B51,BasisProgramma[Handeling],$C51)</f>
        <v>152</v>
      </c>
      <c r="F51" s="448">
        <f>SUMIFS(BasisProgramma[156],BasisProgramma[Element],$B51,BasisProgramma[Handeling],$C51)</f>
        <v>104</v>
      </c>
      <c r="G51" s="448">
        <f>SUMIFS(BasisProgramma[104],BasisProgramma[Element],$B51,BasisProgramma[Handeling],$C51)</f>
        <v>52</v>
      </c>
      <c r="H51" s="448">
        <f>SUMIFS(BasisProgramma[52],BasisProgramma[Element],$B51,BasisProgramma[Handeling],$C51)</f>
        <v>0</v>
      </c>
      <c r="I51" s="461">
        <f>SUMIFS(BasisProgramma[4],BasisProgramma[Element],$B51,BasisProgramma[Handeling],$C51)</f>
        <v>0</v>
      </c>
      <c r="J51" s="449"/>
    </row>
    <row r="52" spans="2:10" x14ac:dyDescent="0.2">
      <c r="B52" s="422" t="s">
        <v>686</v>
      </c>
      <c r="C52" s="79" t="s">
        <v>472</v>
      </c>
      <c r="D52" s="447">
        <f>SUMIFS(BasisProgramma[255],BasisProgramma[Element],$B52,BasisProgramma[Handeling],$C52)</f>
        <v>255</v>
      </c>
      <c r="E52" s="448">
        <f>SUMIFS(BasisProgramma[204],BasisProgramma[Element],$B52,BasisProgramma[Handeling],$C52)</f>
        <v>204</v>
      </c>
      <c r="F52" s="448">
        <f>SUMIFS(BasisProgramma[156],BasisProgramma[Element],$B52,BasisProgramma[Handeling],$C52)</f>
        <v>156</v>
      </c>
      <c r="G52" s="448">
        <f>SUMIFS(BasisProgramma[104],BasisProgramma[Element],$B52,BasisProgramma[Handeling],$C52)</f>
        <v>104</v>
      </c>
      <c r="H52" s="448">
        <f>SUMIFS(BasisProgramma[52],BasisProgramma[Element],$B52,BasisProgramma[Handeling],$C52)</f>
        <v>52</v>
      </c>
      <c r="I52" s="461">
        <f>SUMIFS(BasisProgramma[4],BasisProgramma[Element],$B52,BasisProgramma[Handeling],$C52)</f>
        <v>4</v>
      </c>
      <c r="J52" s="449"/>
    </row>
    <row r="53" spans="2:10" x14ac:dyDescent="0.2">
      <c r="B53" s="422" t="s">
        <v>686</v>
      </c>
      <c r="C53" s="79" t="s">
        <v>750</v>
      </c>
      <c r="D53" s="447">
        <f>SUMIFS(BasisProgramma[255],BasisProgramma[Element],$B53,BasisProgramma[Handeling],$C53)</f>
        <v>52</v>
      </c>
      <c r="E53" s="448">
        <f>SUMIFS(BasisProgramma[204],BasisProgramma[Element],$B53,BasisProgramma[Handeling],$C53)</f>
        <v>52</v>
      </c>
      <c r="F53" s="448">
        <f>SUMIFS(BasisProgramma[156],BasisProgramma[Element],$B53,BasisProgramma[Handeling],$C53)</f>
        <v>52</v>
      </c>
      <c r="G53" s="448">
        <f>SUMIFS(BasisProgramma[104],BasisProgramma[Element],$B53,BasisProgramma[Handeling],$C53)</f>
        <v>52</v>
      </c>
      <c r="H53" s="448">
        <f>SUMIFS(BasisProgramma[52],BasisProgramma[Element],$B53,BasisProgramma[Handeling],$C53)</f>
        <v>52</v>
      </c>
      <c r="I53" s="461">
        <f>SUMIFS(BasisProgramma[4],BasisProgramma[Element],$B53,BasisProgramma[Handeling],$C53)</f>
        <v>4</v>
      </c>
      <c r="J53" s="449"/>
    </row>
    <row r="54" spans="2:10" x14ac:dyDescent="0.2">
      <c r="B54" s="422" t="s">
        <v>468</v>
      </c>
      <c r="C54" s="79" t="s">
        <v>460</v>
      </c>
      <c r="D54" s="447">
        <f>SUMIFS(BasisProgramma[255],BasisProgramma[Element],$B54,BasisProgramma[Handeling],$C54)</f>
        <v>243</v>
      </c>
      <c r="E54" s="448">
        <f>SUMIFS(BasisProgramma[204],BasisProgramma[Element],$B54,BasisProgramma[Handeling],$C54)</f>
        <v>192</v>
      </c>
      <c r="F54" s="448">
        <f>SUMIFS(BasisProgramma[156],BasisProgramma[Element],$B54,BasisProgramma[Handeling],$C54)</f>
        <v>144</v>
      </c>
      <c r="G54" s="448">
        <f>SUMIFS(BasisProgramma[104],BasisProgramma[Element],$B54,BasisProgramma[Handeling],$C54)</f>
        <v>92</v>
      </c>
      <c r="H54" s="448">
        <f>SUMIFS(BasisProgramma[52],BasisProgramma[Element],$B54,BasisProgramma[Handeling],$C54)</f>
        <v>46</v>
      </c>
      <c r="I54" s="461">
        <f>SUMIFS(BasisProgramma[4],BasisProgramma[Element],$B54,BasisProgramma[Handeling],$C54)</f>
        <v>0</v>
      </c>
      <c r="J54" s="449"/>
    </row>
    <row r="55" spans="2:10" x14ac:dyDescent="0.2">
      <c r="B55" s="422" t="s">
        <v>468</v>
      </c>
      <c r="C55" s="79" t="s">
        <v>461</v>
      </c>
      <c r="D55" s="447">
        <f>SUMIFS(BasisProgramma[255],BasisProgramma[Element],$B55,BasisProgramma[Handeling],$C55)</f>
        <v>12</v>
      </c>
      <c r="E55" s="448">
        <f>SUMIFS(BasisProgramma[204],BasisProgramma[Element],$B55,BasisProgramma[Handeling],$C55)</f>
        <v>12</v>
      </c>
      <c r="F55" s="448">
        <f>SUMIFS(BasisProgramma[156],BasisProgramma[Element],$B55,BasisProgramma[Handeling],$C55)</f>
        <v>12</v>
      </c>
      <c r="G55" s="448">
        <f>SUMIFS(BasisProgramma[104],BasisProgramma[Element],$B55,BasisProgramma[Handeling],$C55)</f>
        <v>12</v>
      </c>
      <c r="H55" s="448">
        <f>SUMIFS(BasisProgramma[52],BasisProgramma[Element],$B55,BasisProgramma[Handeling],$C55)</f>
        <v>6</v>
      </c>
      <c r="I55" s="461">
        <f>SUMIFS(BasisProgramma[4],BasisProgramma[Element],$B55,BasisProgramma[Handeling],$C55)</f>
        <v>4</v>
      </c>
      <c r="J55" s="449"/>
    </row>
    <row r="56" spans="2:10" x14ac:dyDescent="0.2">
      <c r="B56" s="422" t="s">
        <v>459</v>
      </c>
      <c r="C56" s="79" t="s">
        <v>460</v>
      </c>
      <c r="D56" s="447">
        <f>SUMIFS(BasisProgramma[255],BasisProgramma[Element],$B56,BasisProgramma[Handeling],$C56)</f>
        <v>243</v>
      </c>
      <c r="E56" s="448">
        <f>SUMIFS(BasisProgramma[204],BasisProgramma[Element],$B56,BasisProgramma[Handeling],$C56)</f>
        <v>192</v>
      </c>
      <c r="F56" s="448">
        <f>SUMIFS(BasisProgramma[156],BasisProgramma[Element],$B56,BasisProgramma[Handeling],$C56)</f>
        <v>144</v>
      </c>
      <c r="G56" s="448">
        <f>SUMIFS(BasisProgramma[104],BasisProgramma[Element],$B56,BasisProgramma[Handeling],$C56)</f>
        <v>92</v>
      </c>
      <c r="H56" s="448">
        <f>SUMIFS(BasisProgramma[52],BasisProgramma[Element],$B56,BasisProgramma[Handeling],$C56)</f>
        <v>46</v>
      </c>
      <c r="I56" s="461">
        <f>SUMIFS(BasisProgramma[4],BasisProgramma[Element],$B56,BasisProgramma[Handeling],$C56)</f>
        <v>0</v>
      </c>
      <c r="J56" s="449"/>
    </row>
    <row r="57" spans="2:10" ht="12.75" thickBot="1" x14ac:dyDescent="0.25">
      <c r="B57" s="459" t="s">
        <v>459</v>
      </c>
      <c r="C57" s="424" t="s">
        <v>452</v>
      </c>
      <c r="D57" s="456">
        <f>SUMIFS(BasisProgramma[255],BasisProgramma[Element],$B57,BasisProgramma[Handeling],$C57)</f>
        <v>12</v>
      </c>
      <c r="E57" s="457">
        <f>SUMIFS(BasisProgramma[204],BasisProgramma[Element],$B57,BasisProgramma[Handeling],$C57)</f>
        <v>12</v>
      </c>
      <c r="F57" s="457">
        <f>SUMIFS(BasisProgramma[156],BasisProgramma[Element],$B57,BasisProgramma[Handeling],$C57)</f>
        <v>12</v>
      </c>
      <c r="G57" s="457">
        <f>SUMIFS(BasisProgramma[104],BasisProgramma[Element],$B57,BasisProgramma[Handeling],$C57)</f>
        <v>12</v>
      </c>
      <c r="H57" s="457">
        <f>SUMIFS(BasisProgramma[52],BasisProgramma[Element],$B57,BasisProgramma[Handeling],$C57)</f>
        <v>6</v>
      </c>
      <c r="I57" s="463">
        <f>SUMIFS(BasisProgramma[4],BasisProgramma[Element],$B57,BasisProgramma[Handeling],$C57)</f>
        <v>4</v>
      </c>
      <c r="J57" s="458"/>
    </row>
  </sheetData>
  <sheetProtection algorithmName="SHA-512" hashValue="8FwI40k10g2wALjLh//ymuPyR1I6OAzIjNvIBvz1ryEehURrxLwKPQ3dWIKZKHYkCPJ3cJazHTTQ+YYcQzmwoA==" saltValue="zbR/xyyBgm06it/zyWV6ow==" spinCount="100000" sheet="1" objects="1" scenarios="1"/>
  <mergeCells count="1">
    <mergeCell ref="B1:J1"/>
  </mergeCells>
  <printOptions horizontalCentered="1" verticalCentered="1"/>
  <pageMargins left="0.70866141732283472" right="0.70866141732283472" top="0.74803149606299213" bottom="0.74803149606299213" header="0.31496062992125984" footer="0.31496062992125984"/>
  <pageSetup paperSize="9" scale="72" orientation="portrait" horizontalDpi="0" verticalDpi="0" r:id="rId1"/>
  <headerFooter>
    <oddHeader>&amp;L&amp;9&amp;K04-047Werkprogramma - Verkeersruimte&amp;R&amp;G</oddHeader>
    <oddFooter>&amp;L&amp;9&amp;K04-049Offerteaanvraag EU Openbare aanbesteding Schoonmaakonderhoud&amp;C&amp;9&amp;K04-049 8 april 2022&amp;R&amp;9&amp;K04-049Blad &amp;P van &amp;N</oddFooter>
  </headerFooter>
  <ignoredErrors>
    <ignoredError sqref="D3:E3" numberStoredAsText="1"/>
    <ignoredError sqref="D4:E57" unlockedFormula="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5C4F0-7D0C-4886-9E81-A857216EBE00}">
  <sheetPr codeName="Blad18">
    <pageSetUpPr fitToPage="1"/>
  </sheetPr>
  <dimension ref="B2:I107"/>
  <sheetViews>
    <sheetView workbookViewId="0">
      <pane ySplit="3" topLeftCell="A4" activePane="bottomLeft" state="frozen"/>
      <selection activeCell="B4" sqref="B4"/>
      <selection pane="bottomLeft" activeCell="B4" sqref="B4"/>
    </sheetView>
  </sheetViews>
  <sheetFormatPr defaultColWidth="9.140625" defaultRowHeight="12" x14ac:dyDescent="0.2"/>
  <cols>
    <col min="1" max="1" width="9.140625" style="7"/>
    <col min="2" max="2" width="44.7109375" style="7" bestFit="1" customWidth="1"/>
    <col min="3" max="3" width="45.85546875" style="7" bestFit="1" customWidth="1"/>
    <col min="4" max="9" width="9.140625" style="84"/>
    <col min="10" max="16384" width="9.140625" style="7"/>
  </cols>
  <sheetData>
    <row r="2" spans="2:9" ht="12.75" thickBot="1" x14ac:dyDescent="0.25"/>
    <row r="3" spans="2:9" ht="12.75" thickBot="1" x14ac:dyDescent="0.25">
      <c r="B3" s="412" t="s">
        <v>451</v>
      </c>
      <c r="C3" s="413" t="s">
        <v>388</v>
      </c>
      <c r="D3" s="414" t="s">
        <v>751</v>
      </c>
      <c r="E3" s="415" t="s">
        <v>752</v>
      </c>
      <c r="F3" s="416" t="s">
        <v>753</v>
      </c>
      <c r="G3" s="416" t="s">
        <v>754</v>
      </c>
      <c r="H3" s="416" t="s">
        <v>755</v>
      </c>
      <c r="I3" s="417" t="s">
        <v>756</v>
      </c>
    </row>
    <row r="4" spans="2:9" x14ac:dyDescent="0.2">
      <c r="B4" s="418" t="s">
        <v>489</v>
      </c>
      <c r="C4" s="419" t="s">
        <v>490</v>
      </c>
      <c r="D4" s="444">
        <f>SUMIFS(BasisProgramma[255],BasisProgramma[Element],$B4,BasisProgramma[Handeling],$C4)</f>
        <v>203</v>
      </c>
      <c r="E4" s="445">
        <f>SUMIFS(BasisProgramma[204],BasisProgramma[Element],$B4,BasisProgramma[Handeling],$C4)</f>
        <v>152</v>
      </c>
      <c r="F4" s="445">
        <f>SUMIFS(BasisProgramma[156],BasisProgramma[Element],$B4,BasisProgramma[Handeling],$C4)</f>
        <v>104</v>
      </c>
      <c r="G4" s="445">
        <f>SUMIFS(BasisProgramma[104],BasisProgramma[Element],$B4,BasisProgramma[Handeling],$C4)</f>
        <v>52</v>
      </c>
      <c r="H4" s="445">
        <f>SUMIFS(BasisProgramma[52],BasisProgramma[Element],$B4,BasisProgramma[Handeling],$C4)</f>
        <v>0</v>
      </c>
      <c r="I4" s="446">
        <f>SUMIFS(BasisProgramma[4],BasisProgramma[Element],$B4,BasisProgramma[Handeling],$C4)</f>
        <v>0</v>
      </c>
    </row>
    <row r="5" spans="2:9" x14ac:dyDescent="0.2">
      <c r="B5" s="422" t="s">
        <v>489</v>
      </c>
      <c r="C5" s="79" t="s">
        <v>491</v>
      </c>
      <c r="D5" s="447">
        <f>SUMIFS(BasisProgramma[255],BasisProgramma[Element],$B5,BasisProgramma[Handeling],$C5)</f>
        <v>52</v>
      </c>
      <c r="E5" s="448">
        <f>SUMIFS(BasisProgramma[204],BasisProgramma[Element],$B5,BasisProgramma[Handeling],$C5)</f>
        <v>52</v>
      </c>
      <c r="F5" s="448">
        <f>SUMIFS(BasisProgramma[156],BasisProgramma[Element],$B5,BasisProgramma[Handeling],$C5)</f>
        <v>52</v>
      </c>
      <c r="G5" s="448">
        <f>SUMIFS(BasisProgramma[104],BasisProgramma[Element],$B5,BasisProgramma[Handeling],$C5)</f>
        <v>52</v>
      </c>
      <c r="H5" s="448">
        <f>SUMIFS(BasisProgramma[52],BasisProgramma[Element],$B5,BasisProgramma[Handeling],$C5)</f>
        <v>52</v>
      </c>
      <c r="I5" s="449">
        <f>SUMIFS(BasisProgramma[4],BasisProgramma[Element],$B5,BasisProgramma[Handeling],$C5)</f>
        <v>4</v>
      </c>
    </row>
    <row r="6" spans="2:9" x14ac:dyDescent="0.2">
      <c r="B6" s="422" t="s">
        <v>488</v>
      </c>
      <c r="C6" s="79" t="s">
        <v>463</v>
      </c>
      <c r="D6" s="447">
        <f>SUMIFS(BasisProgramma[255],BasisProgramma[Element],$B6,BasisProgramma[Handeling],$C6)</f>
        <v>203</v>
      </c>
      <c r="E6" s="448">
        <f>SUMIFS(BasisProgramma[204],BasisProgramma[Element],$B6,BasisProgramma[Handeling],$C6)</f>
        <v>152</v>
      </c>
      <c r="F6" s="448">
        <f>SUMIFS(BasisProgramma[156],BasisProgramma[Element],$B6,BasisProgramma[Handeling],$C6)</f>
        <v>104</v>
      </c>
      <c r="G6" s="448">
        <f>SUMIFS(BasisProgramma[104],BasisProgramma[Element],$B6,BasisProgramma[Handeling],$C6)</f>
        <v>52</v>
      </c>
      <c r="H6" s="448">
        <f>SUMIFS(BasisProgramma[52],BasisProgramma[Element],$B6,BasisProgramma[Handeling],$C6)</f>
        <v>0</v>
      </c>
      <c r="I6" s="449">
        <f>SUMIFS(BasisProgramma[4],BasisProgramma[Element],$B6,BasisProgramma[Handeling],$C6)</f>
        <v>0</v>
      </c>
    </row>
    <row r="7" spans="2:9" x14ac:dyDescent="0.2">
      <c r="B7" s="422" t="s">
        <v>488</v>
      </c>
      <c r="C7" s="79" t="s">
        <v>452</v>
      </c>
      <c r="D7" s="447">
        <f>SUMIFS(BasisProgramma[255],BasisProgramma[Element],$B7,BasisProgramma[Handeling],$C7)</f>
        <v>52</v>
      </c>
      <c r="E7" s="448">
        <f>SUMIFS(BasisProgramma[204],BasisProgramma[Element],$B7,BasisProgramma[Handeling],$C7)</f>
        <v>52</v>
      </c>
      <c r="F7" s="448">
        <f>SUMIFS(BasisProgramma[156],BasisProgramma[Element],$B7,BasisProgramma[Handeling],$C7)</f>
        <v>52</v>
      </c>
      <c r="G7" s="448">
        <f>SUMIFS(BasisProgramma[104],BasisProgramma[Element],$B7,BasisProgramma[Handeling],$C7)</f>
        <v>52</v>
      </c>
      <c r="H7" s="448">
        <f>SUMIFS(BasisProgramma[52],BasisProgramma[Element],$B7,BasisProgramma[Handeling],$C7)</f>
        <v>52</v>
      </c>
      <c r="I7" s="449">
        <f>SUMIFS(BasisProgramma[4],BasisProgramma[Element],$B7,BasisProgramma[Handeling],$C7)</f>
        <v>4</v>
      </c>
    </row>
    <row r="8" spans="2:9" x14ac:dyDescent="0.2">
      <c r="B8" s="422" t="s">
        <v>462</v>
      </c>
      <c r="C8" s="79" t="s">
        <v>463</v>
      </c>
      <c r="D8" s="447">
        <f>SUMIFS(BasisProgramma[255],BasisProgramma[Element],$B8,BasisProgramma[Handeling],$C8)</f>
        <v>243</v>
      </c>
      <c r="E8" s="448">
        <f>SUMIFS(BasisProgramma[204],BasisProgramma[Element],$B8,BasisProgramma[Handeling],$C8)</f>
        <v>192</v>
      </c>
      <c r="F8" s="448">
        <f>SUMIFS(BasisProgramma[156],BasisProgramma[Element],$B8,BasisProgramma[Handeling],$C8)</f>
        <v>144</v>
      </c>
      <c r="G8" s="448">
        <f>SUMIFS(BasisProgramma[104],BasisProgramma[Element],$B8,BasisProgramma[Handeling],$C8)</f>
        <v>92</v>
      </c>
      <c r="H8" s="448">
        <f>SUMIFS(BasisProgramma[52],BasisProgramma[Element],$B8,BasisProgramma[Handeling],$C8)</f>
        <v>46</v>
      </c>
      <c r="I8" s="449">
        <f>SUMIFS(BasisProgramma[4],BasisProgramma[Element],$B8,BasisProgramma[Handeling],$C8)</f>
        <v>0</v>
      </c>
    </row>
    <row r="9" spans="2:9" x14ac:dyDescent="0.2">
      <c r="B9" s="422" t="s">
        <v>462</v>
      </c>
      <c r="C9" s="79" t="s">
        <v>464</v>
      </c>
      <c r="D9" s="447">
        <f>SUMIFS(BasisProgramma[255],BasisProgramma[Element],$B9,BasisProgramma[Handeling],$C9)</f>
        <v>12</v>
      </c>
      <c r="E9" s="448">
        <f>SUMIFS(BasisProgramma[204],BasisProgramma[Element],$B9,BasisProgramma[Handeling],$C9)</f>
        <v>12</v>
      </c>
      <c r="F9" s="448">
        <f>SUMIFS(BasisProgramma[156],BasisProgramma[Element],$B9,BasisProgramma[Handeling],$C9)</f>
        <v>12</v>
      </c>
      <c r="G9" s="448">
        <f>SUMIFS(BasisProgramma[104],BasisProgramma[Element],$B9,BasisProgramma[Handeling],$C9)</f>
        <v>12</v>
      </c>
      <c r="H9" s="448">
        <f>SUMIFS(BasisProgramma[52],BasisProgramma[Element],$B9,BasisProgramma[Handeling],$C9)</f>
        <v>6</v>
      </c>
      <c r="I9" s="449">
        <f>SUMIFS(BasisProgramma[4],BasisProgramma[Element],$B9,BasisProgramma[Handeling],$C9)</f>
        <v>4</v>
      </c>
    </row>
    <row r="10" spans="2:9" x14ac:dyDescent="0.2">
      <c r="B10" s="422" t="s">
        <v>494</v>
      </c>
      <c r="C10" s="79" t="s">
        <v>427</v>
      </c>
      <c r="D10" s="447">
        <f>SUMIFS(BasisProgramma[255],BasisProgramma[Element],$B10,BasisProgramma[Handeling],$C10)</f>
        <v>255</v>
      </c>
      <c r="E10" s="448">
        <f>SUMIFS(BasisProgramma[204],BasisProgramma[Element],$B10,BasisProgramma[Handeling],$C10)</f>
        <v>204</v>
      </c>
      <c r="F10" s="448">
        <f>SUMIFS(BasisProgramma[156],BasisProgramma[Element],$B10,BasisProgramma[Handeling],$C10)</f>
        <v>156</v>
      </c>
      <c r="G10" s="448">
        <f>SUMIFS(BasisProgramma[104],BasisProgramma[Element],$B10,BasisProgramma[Handeling],$C10)</f>
        <v>104</v>
      </c>
      <c r="H10" s="448">
        <f>SUMIFS(BasisProgramma[52],BasisProgramma[Element],$B10,BasisProgramma[Handeling],$C10)</f>
        <v>52</v>
      </c>
      <c r="I10" s="449">
        <f>SUMIFS(BasisProgramma[4],BasisProgramma[Element],$B10,BasisProgramma[Handeling],$C10)</f>
        <v>4</v>
      </c>
    </row>
    <row r="11" spans="2:9" x14ac:dyDescent="0.2">
      <c r="B11" s="422" t="s">
        <v>494</v>
      </c>
      <c r="C11" s="79" t="s">
        <v>428</v>
      </c>
      <c r="D11" s="447">
        <f>SUMIFS(BasisProgramma[255],BasisProgramma[Element],$B11,BasisProgramma[Handeling],$C11)</f>
        <v>203</v>
      </c>
      <c r="E11" s="448">
        <f>SUMIFS(BasisProgramma[204],BasisProgramma[Element],$B11,BasisProgramma[Handeling],$C11)</f>
        <v>152</v>
      </c>
      <c r="F11" s="448">
        <f>SUMIFS(BasisProgramma[156],BasisProgramma[Element],$B11,BasisProgramma[Handeling],$C11)</f>
        <v>104</v>
      </c>
      <c r="G11" s="448">
        <f>SUMIFS(BasisProgramma[104],BasisProgramma[Element],$B11,BasisProgramma[Handeling],$C11)</f>
        <v>92</v>
      </c>
      <c r="H11" s="448">
        <f>SUMIFS(BasisProgramma[52],BasisProgramma[Element],$B11,BasisProgramma[Handeling],$C11)</f>
        <v>46</v>
      </c>
      <c r="I11" s="449">
        <f>SUMIFS(BasisProgramma[4],BasisProgramma[Element],$B11,BasisProgramma[Handeling],$C11)</f>
        <v>0</v>
      </c>
    </row>
    <row r="12" spans="2:9" x14ac:dyDescent="0.2">
      <c r="B12" s="422" t="s">
        <v>494</v>
      </c>
      <c r="C12" s="79" t="s">
        <v>429</v>
      </c>
      <c r="D12" s="447">
        <f>SUMIFS(BasisProgramma[255],BasisProgramma[Element],$B12,BasisProgramma[Handeling],$C12)</f>
        <v>52</v>
      </c>
      <c r="E12" s="448">
        <f>SUMIFS(BasisProgramma[204],BasisProgramma[Element],$B12,BasisProgramma[Handeling],$C12)</f>
        <v>52</v>
      </c>
      <c r="F12" s="448">
        <f>SUMIFS(BasisProgramma[156],BasisProgramma[Element],$B12,BasisProgramma[Handeling],$C12)</f>
        <v>52</v>
      </c>
      <c r="G12" s="448">
        <f>SUMIFS(BasisProgramma[104],BasisProgramma[Element],$B12,BasisProgramma[Handeling],$C12)</f>
        <v>12</v>
      </c>
      <c r="H12" s="448">
        <f>SUMIFS(BasisProgramma[52],BasisProgramma[Element],$B12,BasisProgramma[Handeling],$C12)</f>
        <v>6</v>
      </c>
      <c r="I12" s="449">
        <f>SUMIFS(BasisProgramma[4],BasisProgramma[Element],$B12,BasisProgramma[Handeling],$C12)</f>
        <v>4</v>
      </c>
    </row>
    <row r="13" spans="2:9" x14ac:dyDescent="0.2">
      <c r="B13" s="422" t="s">
        <v>720</v>
      </c>
      <c r="C13" s="79" t="s">
        <v>428</v>
      </c>
      <c r="D13" s="447">
        <f>SUMIFS(BasisProgramma[255],BasisProgramma[Element],$B13,BasisProgramma[Handeling],$C13)</f>
        <v>203</v>
      </c>
      <c r="E13" s="448">
        <f>SUMIFS(BasisProgramma[204],BasisProgramma[Element],$B13,BasisProgramma[Handeling],$C13)</f>
        <v>152</v>
      </c>
      <c r="F13" s="448">
        <f>SUMIFS(BasisProgramma[156],BasisProgramma[Element],$B13,BasisProgramma[Handeling],$C13)</f>
        <v>104</v>
      </c>
      <c r="G13" s="448">
        <f>SUMIFS(BasisProgramma[104],BasisProgramma[Element],$B13,BasisProgramma[Handeling],$C13)</f>
        <v>52</v>
      </c>
      <c r="H13" s="448">
        <f>SUMIFS(BasisProgramma[52],BasisProgramma[Element],$B13,BasisProgramma[Handeling],$C13)</f>
        <v>0</v>
      </c>
      <c r="I13" s="449">
        <f>SUMIFS(BasisProgramma[4],BasisProgramma[Element],$B13,BasisProgramma[Handeling],$C13)</f>
        <v>0</v>
      </c>
    </row>
    <row r="14" spans="2:9" x14ac:dyDescent="0.2">
      <c r="B14" s="422" t="s">
        <v>720</v>
      </c>
      <c r="C14" s="79" t="s">
        <v>452</v>
      </c>
      <c r="D14" s="447">
        <f>SUMIFS(BasisProgramma[255],BasisProgramma[Element],$B14,BasisProgramma[Handeling],$C14)</f>
        <v>52</v>
      </c>
      <c r="E14" s="448">
        <f>SUMIFS(BasisProgramma[204],BasisProgramma[Element],$B14,BasisProgramma[Handeling],$C14)</f>
        <v>52</v>
      </c>
      <c r="F14" s="448">
        <f>SUMIFS(BasisProgramma[156],BasisProgramma[Element],$B14,BasisProgramma[Handeling],$C14)</f>
        <v>52</v>
      </c>
      <c r="G14" s="448">
        <f>SUMIFS(BasisProgramma[104],BasisProgramma[Element],$B14,BasisProgramma[Handeling],$C14)</f>
        <v>52</v>
      </c>
      <c r="H14" s="448">
        <f>SUMIFS(BasisProgramma[52],BasisProgramma[Element],$B14,BasisProgramma[Handeling],$C14)</f>
        <v>52</v>
      </c>
      <c r="I14" s="449">
        <f>SUMIFS(BasisProgramma[4],BasisProgramma[Element],$B14,BasisProgramma[Handeling],$C14)</f>
        <v>4</v>
      </c>
    </row>
    <row r="15" spans="2:9" x14ac:dyDescent="0.2">
      <c r="B15" s="422" t="s">
        <v>469</v>
      </c>
      <c r="C15" s="79" t="s">
        <v>470</v>
      </c>
      <c r="D15" s="447">
        <f>SUMIFS(BasisProgramma[255],BasisProgramma[Element],$B15,BasisProgramma[Handeling],$C15)</f>
        <v>255</v>
      </c>
      <c r="E15" s="448">
        <f>SUMIFS(BasisProgramma[204],BasisProgramma[Element],$B15,BasisProgramma[Handeling],$C15)</f>
        <v>204</v>
      </c>
      <c r="F15" s="448">
        <f>SUMIFS(BasisProgramma[156],BasisProgramma[Element],$B15,BasisProgramma[Handeling],$C15)</f>
        <v>156</v>
      </c>
      <c r="G15" s="448">
        <f>SUMIFS(BasisProgramma[104],BasisProgramma[Element],$B15,BasisProgramma[Handeling],$C15)</f>
        <v>104</v>
      </c>
      <c r="H15" s="448">
        <f>SUMIFS(BasisProgramma[52],BasisProgramma[Element],$B15,BasisProgramma[Handeling],$C15)</f>
        <v>52</v>
      </c>
      <c r="I15" s="449">
        <f>SUMIFS(BasisProgramma[4],BasisProgramma[Element],$B15,BasisProgramma[Handeling],$C15)</f>
        <v>4</v>
      </c>
    </row>
    <row r="16" spans="2:9" x14ac:dyDescent="0.2">
      <c r="B16" s="422" t="s">
        <v>453</v>
      </c>
      <c r="C16" s="79" t="s">
        <v>441</v>
      </c>
      <c r="D16" s="447">
        <f>SUMIFS(BasisProgramma[255],BasisProgramma[Element],$B16,BasisProgramma[Handeling],$C16)</f>
        <v>255</v>
      </c>
      <c r="E16" s="448">
        <f>SUMIFS(BasisProgramma[204],BasisProgramma[Element],$B16,BasisProgramma[Handeling],$C16)</f>
        <v>204</v>
      </c>
      <c r="F16" s="448">
        <f>SUMIFS(BasisProgramma[156],BasisProgramma[Element],$B16,BasisProgramma[Handeling],$C16)</f>
        <v>156</v>
      </c>
      <c r="G16" s="448">
        <f>SUMIFS(BasisProgramma[104],BasisProgramma[Element],$B16,BasisProgramma[Handeling],$C16)</f>
        <v>104</v>
      </c>
      <c r="H16" s="448">
        <f>SUMIFS(BasisProgramma[52],BasisProgramma[Element],$B16,BasisProgramma[Handeling],$C16)</f>
        <v>52</v>
      </c>
      <c r="I16" s="449">
        <f>SUMIFS(BasisProgramma[4],BasisProgramma[Element],$B16,BasisProgramma[Handeling],$C16)</f>
        <v>4</v>
      </c>
    </row>
    <row r="17" spans="2:9" x14ac:dyDescent="0.2">
      <c r="B17" s="422" t="s">
        <v>430</v>
      </c>
      <c r="C17" s="79" t="s">
        <v>428</v>
      </c>
      <c r="D17" s="447">
        <f>SUMIFS(BasisProgramma[255],BasisProgramma[Element],$B17,BasisProgramma[Handeling],$C17)</f>
        <v>203</v>
      </c>
      <c r="E17" s="448">
        <f>SUMIFS(BasisProgramma[204],BasisProgramma[Element],$B17,BasisProgramma[Handeling],$C17)</f>
        <v>152</v>
      </c>
      <c r="F17" s="448">
        <f>SUMIFS(BasisProgramma[156],BasisProgramma[Element],$B17,BasisProgramma[Handeling],$C17)</f>
        <v>104</v>
      </c>
      <c r="G17" s="448">
        <f>SUMIFS(BasisProgramma[104],BasisProgramma[Element],$B17,BasisProgramma[Handeling],$C17)</f>
        <v>92</v>
      </c>
      <c r="H17" s="448">
        <f>SUMIFS(BasisProgramma[52],BasisProgramma[Element],$B17,BasisProgramma[Handeling],$C17)</f>
        <v>40</v>
      </c>
      <c r="I17" s="449">
        <f>SUMIFS(BasisProgramma[4],BasisProgramma[Element],$B17,BasisProgramma[Handeling],$C17)</f>
        <v>0</v>
      </c>
    </row>
    <row r="18" spans="2:9" x14ac:dyDescent="0.2">
      <c r="B18" s="422" t="s">
        <v>430</v>
      </c>
      <c r="C18" s="79" t="s">
        <v>431</v>
      </c>
      <c r="D18" s="447">
        <f>SUMIFS(BasisProgramma[255],BasisProgramma[Element],$B18,BasisProgramma[Handeling],$C18)</f>
        <v>52</v>
      </c>
      <c r="E18" s="448">
        <f>SUMIFS(BasisProgramma[204],BasisProgramma[Element],$B18,BasisProgramma[Handeling],$C18)</f>
        <v>52</v>
      </c>
      <c r="F18" s="448">
        <f>SUMIFS(BasisProgramma[156],BasisProgramma[Element],$B18,BasisProgramma[Handeling],$C18)</f>
        <v>52</v>
      </c>
      <c r="G18" s="448">
        <f>SUMIFS(BasisProgramma[104],BasisProgramma[Element],$B18,BasisProgramma[Handeling],$C18)</f>
        <v>12</v>
      </c>
      <c r="H18" s="448">
        <f>SUMIFS(BasisProgramma[52],BasisProgramma[Element],$B18,BasisProgramma[Handeling],$C18)</f>
        <v>12</v>
      </c>
      <c r="I18" s="449">
        <f>SUMIFS(BasisProgramma[4],BasisProgramma[Element],$B18,BasisProgramma[Handeling],$C18)</f>
        <v>4</v>
      </c>
    </row>
    <row r="19" spans="2:9" x14ac:dyDescent="0.2">
      <c r="B19" s="422" t="s">
        <v>471</v>
      </c>
      <c r="C19" s="79" t="s">
        <v>472</v>
      </c>
      <c r="D19" s="447">
        <f>SUMIFS(BasisProgramma[255],BasisProgramma[Element],$B19,BasisProgramma[Handeling],$C19)</f>
        <v>203</v>
      </c>
      <c r="E19" s="448">
        <f>SUMIFS(BasisProgramma[204],BasisProgramma[Element],$B19,BasisProgramma[Handeling],$C19)</f>
        <v>152</v>
      </c>
      <c r="F19" s="448">
        <f>SUMIFS(BasisProgramma[156],BasisProgramma[Element],$B19,BasisProgramma[Handeling],$C19)</f>
        <v>104</v>
      </c>
      <c r="G19" s="448">
        <f>SUMIFS(BasisProgramma[104],BasisProgramma[Element],$B19,BasisProgramma[Handeling],$C19)</f>
        <v>52</v>
      </c>
      <c r="H19" s="448">
        <f>SUMIFS(BasisProgramma[52],BasisProgramma[Element],$B19,BasisProgramma[Handeling],$C19)</f>
        <v>40</v>
      </c>
      <c r="I19" s="449">
        <f>SUMIFS(BasisProgramma[4],BasisProgramma[Element],$B19,BasisProgramma[Handeling],$C19)</f>
        <v>0</v>
      </c>
    </row>
    <row r="20" spans="2:9" x14ac:dyDescent="0.2">
      <c r="B20" s="422" t="s">
        <v>471</v>
      </c>
      <c r="C20" s="79" t="s">
        <v>429</v>
      </c>
      <c r="D20" s="447">
        <f>SUMIFS(BasisProgramma[255],BasisProgramma[Element],$B20,BasisProgramma[Handeling],$C20)</f>
        <v>52</v>
      </c>
      <c r="E20" s="448">
        <f>SUMIFS(BasisProgramma[204],BasisProgramma[Element],$B20,BasisProgramma[Handeling],$C20)</f>
        <v>52</v>
      </c>
      <c r="F20" s="448">
        <f>SUMIFS(BasisProgramma[156],BasisProgramma[Element],$B20,BasisProgramma[Handeling],$C20)</f>
        <v>52</v>
      </c>
      <c r="G20" s="448">
        <f>SUMIFS(BasisProgramma[104],BasisProgramma[Element],$B20,BasisProgramma[Handeling],$C20)</f>
        <v>52</v>
      </c>
      <c r="H20" s="448">
        <f>SUMIFS(BasisProgramma[52],BasisProgramma[Element],$B20,BasisProgramma[Handeling],$C20)</f>
        <v>12</v>
      </c>
      <c r="I20" s="449">
        <f>SUMIFS(BasisProgramma[4],BasisProgramma[Element],$B20,BasisProgramma[Handeling],$C20)</f>
        <v>4</v>
      </c>
    </row>
    <row r="21" spans="2:9" x14ac:dyDescent="0.2">
      <c r="B21" s="422" t="s">
        <v>492</v>
      </c>
      <c r="C21" s="79" t="s">
        <v>490</v>
      </c>
      <c r="D21" s="447">
        <f>SUMIFS(BasisProgramma[255],BasisProgramma[Element],$B21,BasisProgramma[Handeling],$C21)</f>
        <v>203</v>
      </c>
      <c r="E21" s="448">
        <f>SUMIFS(BasisProgramma[204],BasisProgramma[Element],$B21,BasisProgramma[Handeling],$C21)</f>
        <v>152</v>
      </c>
      <c r="F21" s="448">
        <f>SUMIFS(BasisProgramma[156],BasisProgramma[Element],$B21,BasisProgramma[Handeling],$C21)</f>
        <v>104</v>
      </c>
      <c r="G21" s="448">
        <f>SUMIFS(BasisProgramma[104],BasisProgramma[Element],$B21,BasisProgramma[Handeling],$C21)</f>
        <v>52</v>
      </c>
      <c r="H21" s="448">
        <f>SUMIFS(BasisProgramma[52],BasisProgramma[Element],$B21,BasisProgramma[Handeling],$C21)</f>
        <v>0</v>
      </c>
      <c r="I21" s="449">
        <f>SUMIFS(BasisProgramma[4],BasisProgramma[Element],$B21,BasisProgramma[Handeling],$C21)</f>
        <v>0</v>
      </c>
    </row>
    <row r="22" spans="2:9" x14ac:dyDescent="0.2">
      <c r="B22" s="422" t="s">
        <v>492</v>
      </c>
      <c r="C22" s="79" t="s">
        <v>491</v>
      </c>
      <c r="D22" s="447">
        <f>SUMIFS(BasisProgramma[255],BasisProgramma[Element],$B22,BasisProgramma[Handeling],$C22)</f>
        <v>52</v>
      </c>
      <c r="E22" s="448">
        <f>SUMIFS(BasisProgramma[204],BasisProgramma[Element],$B22,BasisProgramma[Handeling],$C22)</f>
        <v>52</v>
      </c>
      <c r="F22" s="448">
        <f>SUMIFS(BasisProgramma[156],BasisProgramma[Element],$B22,BasisProgramma[Handeling],$C22)</f>
        <v>52</v>
      </c>
      <c r="G22" s="448">
        <f>SUMIFS(BasisProgramma[104],BasisProgramma[Element],$B22,BasisProgramma[Handeling],$C22)</f>
        <v>52</v>
      </c>
      <c r="H22" s="448">
        <f>SUMIFS(BasisProgramma[52],BasisProgramma[Element],$B22,BasisProgramma[Handeling],$C22)</f>
        <v>52</v>
      </c>
      <c r="I22" s="449">
        <f>SUMIFS(BasisProgramma[4],BasisProgramma[Element],$B22,BasisProgramma[Handeling],$C22)</f>
        <v>4</v>
      </c>
    </row>
    <row r="23" spans="2:9" x14ac:dyDescent="0.2">
      <c r="B23" s="422" t="s">
        <v>493</v>
      </c>
      <c r="C23" s="79" t="s">
        <v>490</v>
      </c>
      <c r="D23" s="447">
        <f>SUMIFS(BasisProgramma[255],BasisProgramma[Element],$B23,BasisProgramma[Handeling],$C23)</f>
        <v>203</v>
      </c>
      <c r="E23" s="448">
        <f>SUMIFS(BasisProgramma[204],BasisProgramma[Element],$B23,BasisProgramma[Handeling],$C23)</f>
        <v>152</v>
      </c>
      <c r="F23" s="448">
        <f>SUMIFS(BasisProgramma[156],BasisProgramma[Element],$B23,BasisProgramma[Handeling],$C23)</f>
        <v>104</v>
      </c>
      <c r="G23" s="448">
        <f>SUMIFS(BasisProgramma[104],BasisProgramma[Element],$B23,BasisProgramma[Handeling],$C23)</f>
        <v>52</v>
      </c>
      <c r="H23" s="448">
        <f>SUMIFS(BasisProgramma[52],BasisProgramma[Element],$B23,BasisProgramma[Handeling],$C23)</f>
        <v>0</v>
      </c>
      <c r="I23" s="449">
        <f>SUMIFS(BasisProgramma[4],BasisProgramma[Element],$B23,BasisProgramma[Handeling],$C23)</f>
        <v>0</v>
      </c>
    </row>
    <row r="24" spans="2:9" x14ac:dyDescent="0.2">
      <c r="B24" s="422" t="s">
        <v>493</v>
      </c>
      <c r="C24" s="79" t="s">
        <v>491</v>
      </c>
      <c r="D24" s="447">
        <f>SUMIFS(BasisProgramma[255],BasisProgramma[Element],$B24,BasisProgramma[Handeling],$C24)</f>
        <v>52</v>
      </c>
      <c r="E24" s="448">
        <f>SUMIFS(BasisProgramma[204],BasisProgramma[Element],$B24,BasisProgramma[Handeling],$C24)</f>
        <v>52</v>
      </c>
      <c r="F24" s="448">
        <f>SUMIFS(BasisProgramma[156],BasisProgramma[Element],$B24,BasisProgramma[Handeling],$C24)</f>
        <v>52</v>
      </c>
      <c r="G24" s="448">
        <f>SUMIFS(BasisProgramma[104],BasisProgramma[Element],$B24,BasisProgramma[Handeling],$C24)</f>
        <v>52</v>
      </c>
      <c r="H24" s="448">
        <f>SUMIFS(BasisProgramma[52],BasisProgramma[Element],$B24,BasisProgramma[Handeling],$C24)</f>
        <v>52</v>
      </c>
      <c r="I24" s="449">
        <f>SUMIFS(BasisProgramma[4],BasisProgramma[Element],$B24,BasisProgramma[Handeling],$C24)</f>
        <v>4</v>
      </c>
    </row>
    <row r="25" spans="2:9" x14ac:dyDescent="0.2">
      <c r="B25" s="422" t="s">
        <v>485</v>
      </c>
      <c r="C25" s="79" t="s">
        <v>428</v>
      </c>
      <c r="D25" s="447">
        <f>SUMIFS(BasisProgramma[255],BasisProgramma[Element],$B25,BasisProgramma[Handeling],$C25)</f>
        <v>52</v>
      </c>
      <c r="E25" s="448">
        <f>SUMIFS(BasisProgramma[204],BasisProgramma[Element],$B25,BasisProgramma[Handeling],$C25)</f>
        <v>52</v>
      </c>
      <c r="F25" s="448">
        <f>SUMIFS(BasisProgramma[156],BasisProgramma[Element],$B25,BasisProgramma[Handeling],$C25)</f>
        <v>52</v>
      </c>
      <c r="G25" s="448">
        <f>SUMIFS(BasisProgramma[104],BasisProgramma[Element],$B25,BasisProgramma[Handeling],$C25)</f>
        <v>12</v>
      </c>
      <c r="H25" s="448">
        <f>SUMIFS(BasisProgramma[52],BasisProgramma[Element],$B25,BasisProgramma[Handeling],$C25)</f>
        <v>12</v>
      </c>
      <c r="I25" s="449">
        <f>SUMIFS(BasisProgramma[4],BasisProgramma[Element],$B25,BasisProgramma[Handeling],$C25)</f>
        <v>4</v>
      </c>
    </row>
    <row r="26" spans="2:9" x14ac:dyDescent="0.2">
      <c r="B26" s="422" t="s">
        <v>432</v>
      </c>
      <c r="C26" s="79" t="s">
        <v>428</v>
      </c>
      <c r="D26" s="447">
        <f>SUMIFS(BasisProgramma[255],BasisProgramma[Element],$B26,BasisProgramma[Handeling],$C26)</f>
        <v>243</v>
      </c>
      <c r="E26" s="448">
        <f>SUMIFS(BasisProgramma[204],BasisProgramma[Element],$B26,BasisProgramma[Handeling],$C26)</f>
        <v>192</v>
      </c>
      <c r="F26" s="448">
        <f>SUMIFS(BasisProgramma[156],BasisProgramma[Element],$B26,BasisProgramma[Handeling],$C26)</f>
        <v>144</v>
      </c>
      <c r="G26" s="448">
        <f>SUMIFS(BasisProgramma[104],BasisProgramma[Element],$B26,BasisProgramma[Handeling],$C26)</f>
        <v>92</v>
      </c>
      <c r="H26" s="448">
        <f>SUMIFS(BasisProgramma[52],BasisProgramma[Element],$B26,BasisProgramma[Handeling],$C26)</f>
        <v>46</v>
      </c>
      <c r="I26" s="449">
        <f>SUMIFS(BasisProgramma[4],BasisProgramma[Element],$B26,BasisProgramma[Handeling],$C26)</f>
        <v>0</v>
      </c>
    </row>
    <row r="27" spans="2:9" x14ac:dyDescent="0.2">
      <c r="B27" s="422" t="s">
        <v>432</v>
      </c>
      <c r="C27" s="79" t="s">
        <v>433</v>
      </c>
      <c r="D27" s="447">
        <f>SUMIFS(BasisProgramma[255],BasisProgramma[Element],$B27,BasisProgramma[Handeling],$C27)</f>
        <v>243</v>
      </c>
      <c r="E27" s="448">
        <f>SUMIFS(BasisProgramma[204],BasisProgramma[Element],$B27,BasisProgramma[Handeling],$C27)</f>
        <v>192</v>
      </c>
      <c r="F27" s="448">
        <f>SUMIFS(BasisProgramma[156],BasisProgramma[Element],$B27,BasisProgramma[Handeling],$C27)</f>
        <v>144</v>
      </c>
      <c r="G27" s="448">
        <f>SUMIFS(BasisProgramma[104],BasisProgramma[Element],$B27,BasisProgramma[Handeling],$C27)</f>
        <v>92</v>
      </c>
      <c r="H27" s="448">
        <f>SUMIFS(BasisProgramma[52],BasisProgramma[Element],$B27,BasisProgramma[Handeling],$C27)</f>
        <v>46</v>
      </c>
      <c r="I27" s="449">
        <f>SUMIFS(BasisProgramma[4],BasisProgramma[Element],$B27,BasisProgramma[Handeling],$C27)</f>
        <v>0</v>
      </c>
    </row>
    <row r="28" spans="2:9" x14ac:dyDescent="0.2">
      <c r="B28" s="422" t="s">
        <v>432</v>
      </c>
      <c r="C28" s="79" t="s">
        <v>429</v>
      </c>
      <c r="D28" s="447">
        <f>SUMIFS(BasisProgramma[255],BasisProgramma[Element],$B28,BasisProgramma[Handeling],$C28)</f>
        <v>12</v>
      </c>
      <c r="E28" s="448">
        <f>SUMIFS(BasisProgramma[204],BasisProgramma[Element],$B28,BasisProgramma[Handeling],$C28)</f>
        <v>12</v>
      </c>
      <c r="F28" s="448">
        <f>SUMIFS(BasisProgramma[156],BasisProgramma[Element],$B28,BasisProgramma[Handeling],$C28)</f>
        <v>12</v>
      </c>
      <c r="G28" s="448">
        <f>SUMIFS(BasisProgramma[104],BasisProgramma[Element],$B28,BasisProgramma[Handeling],$C28)</f>
        <v>12</v>
      </c>
      <c r="H28" s="448">
        <f>SUMIFS(BasisProgramma[52],BasisProgramma[Element],$B28,BasisProgramma[Handeling],$C28)</f>
        <v>6</v>
      </c>
      <c r="I28" s="449">
        <f>SUMIFS(BasisProgramma[4],BasisProgramma[Element],$B28,BasisProgramma[Handeling],$C28)</f>
        <v>4</v>
      </c>
    </row>
    <row r="29" spans="2:9" x14ac:dyDescent="0.2">
      <c r="B29" s="422" t="s">
        <v>434</v>
      </c>
      <c r="C29" s="79" t="s">
        <v>435</v>
      </c>
      <c r="D29" s="447">
        <f>SUMIFS(BasisProgramma[255],BasisProgramma[Element],$B29,BasisProgramma[Handeling],$C29)</f>
        <v>203</v>
      </c>
      <c r="E29" s="448">
        <f>SUMIFS(BasisProgramma[204],BasisProgramma[Element],$B29,BasisProgramma[Handeling],$C29)</f>
        <v>152</v>
      </c>
      <c r="F29" s="448">
        <f>SUMIFS(BasisProgramma[156],BasisProgramma[Element],$B29,BasisProgramma[Handeling],$C29)</f>
        <v>104</v>
      </c>
      <c r="G29" s="448">
        <f>SUMIFS(BasisProgramma[104],BasisProgramma[Element],$B29,BasisProgramma[Handeling],$C29)</f>
        <v>98</v>
      </c>
      <c r="H29" s="448">
        <f>SUMIFS(BasisProgramma[52],BasisProgramma[Element],$B29,BasisProgramma[Handeling],$C29)</f>
        <v>46</v>
      </c>
      <c r="I29" s="449">
        <f>SUMIFS(BasisProgramma[4],BasisProgramma[Element],$B29,BasisProgramma[Handeling],$C29)</f>
        <v>0</v>
      </c>
    </row>
    <row r="30" spans="2:9" x14ac:dyDescent="0.2">
      <c r="B30" s="422" t="s">
        <v>434</v>
      </c>
      <c r="C30" s="79" t="s">
        <v>429</v>
      </c>
      <c r="D30" s="447">
        <f>SUMIFS(BasisProgramma[255],BasisProgramma[Element],$B30,BasisProgramma[Handeling],$C30)</f>
        <v>52</v>
      </c>
      <c r="E30" s="448">
        <f>SUMIFS(BasisProgramma[204],BasisProgramma[Element],$B30,BasisProgramma[Handeling],$C30)</f>
        <v>52</v>
      </c>
      <c r="F30" s="448">
        <f>SUMIFS(BasisProgramma[156],BasisProgramma[Element],$B30,BasisProgramma[Handeling],$C30)</f>
        <v>52</v>
      </c>
      <c r="G30" s="448">
        <f>SUMIFS(BasisProgramma[104],BasisProgramma[Element],$B30,BasisProgramma[Handeling],$C30)</f>
        <v>12</v>
      </c>
      <c r="H30" s="448">
        <f>SUMIFS(BasisProgramma[52],BasisProgramma[Element],$B30,BasisProgramma[Handeling],$C30)</f>
        <v>12</v>
      </c>
      <c r="I30" s="449">
        <f>SUMIFS(BasisProgramma[4],BasisProgramma[Element],$B30,BasisProgramma[Handeling],$C30)</f>
        <v>4</v>
      </c>
    </row>
    <row r="31" spans="2:9" x14ac:dyDescent="0.2">
      <c r="B31" s="422" t="s">
        <v>473</v>
      </c>
      <c r="C31" s="79" t="s">
        <v>441</v>
      </c>
      <c r="D31" s="447">
        <f>SUMIFS(BasisProgramma[255],BasisProgramma[Element],$B31,BasisProgramma[Handeling],$C31)</f>
        <v>255</v>
      </c>
      <c r="E31" s="448">
        <f>SUMIFS(BasisProgramma[204],BasisProgramma[Element],$B31,BasisProgramma[Handeling],$C31)</f>
        <v>204</v>
      </c>
      <c r="F31" s="448">
        <f>SUMIFS(BasisProgramma[156],BasisProgramma[Element],$B31,BasisProgramma[Handeling],$C31)</f>
        <v>156</v>
      </c>
      <c r="G31" s="448">
        <f>SUMIFS(BasisProgramma[104],BasisProgramma[Element],$B31,BasisProgramma[Handeling],$C31)</f>
        <v>104</v>
      </c>
      <c r="H31" s="448">
        <f>SUMIFS(BasisProgramma[52],BasisProgramma[Element],$B31,BasisProgramma[Handeling],$C31)</f>
        <v>52</v>
      </c>
      <c r="I31" s="449">
        <f>SUMIFS(BasisProgramma[4],BasisProgramma[Element],$B31,BasisProgramma[Handeling],$C31)</f>
        <v>4</v>
      </c>
    </row>
    <row r="32" spans="2:9" x14ac:dyDescent="0.2">
      <c r="B32" s="422" t="s">
        <v>730</v>
      </c>
      <c r="C32" s="79" t="s">
        <v>490</v>
      </c>
      <c r="D32" s="447">
        <f>SUMIFS(BasisProgramma[255],BasisProgramma[Element],$B32,BasisProgramma[Handeling],$C32)</f>
        <v>203</v>
      </c>
      <c r="E32" s="448">
        <f>SUMIFS(BasisProgramma[204],BasisProgramma[Element],$B32,BasisProgramma[Handeling],$C32)</f>
        <v>152</v>
      </c>
      <c r="F32" s="448">
        <f>SUMIFS(BasisProgramma[156],BasisProgramma[Element],$B32,BasisProgramma[Handeling],$C32)</f>
        <v>104</v>
      </c>
      <c r="G32" s="448">
        <f>SUMIFS(BasisProgramma[104],BasisProgramma[Element],$B32,BasisProgramma[Handeling],$C32)</f>
        <v>52</v>
      </c>
      <c r="H32" s="448">
        <f>SUMIFS(BasisProgramma[52],BasisProgramma[Element],$B32,BasisProgramma[Handeling],$C32)</f>
        <v>0</v>
      </c>
      <c r="I32" s="449">
        <f>SUMIFS(BasisProgramma[4],BasisProgramma[Element],$B32,BasisProgramma[Handeling],$C32)</f>
        <v>0</v>
      </c>
    </row>
    <row r="33" spans="2:9" x14ac:dyDescent="0.2">
      <c r="B33" s="422" t="s">
        <v>730</v>
      </c>
      <c r="C33" s="79" t="s">
        <v>732</v>
      </c>
      <c r="D33" s="447">
        <f>SUMIFS(BasisProgramma[255],BasisProgramma[Element],$B33,BasisProgramma[Handeling],$C33)</f>
        <v>52</v>
      </c>
      <c r="E33" s="448">
        <f>SUMIFS(BasisProgramma[204],BasisProgramma[Element],$B33,BasisProgramma[Handeling],$C33)</f>
        <v>52</v>
      </c>
      <c r="F33" s="448">
        <f>SUMIFS(BasisProgramma[156],BasisProgramma[Element],$B33,BasisProgramma[Handeling],$C33)</f>
        <v>52</v>
      </c>
      <c r="G33" s="448">
        <f>SUMIFS(BasisProgramma[104],BasisProgramma[Element],$B33,BasisProgramma[Handeling],$C33)</f>
        <v>52</v>
      </c>
      <c r="H33" s="448">
        <f>SUMIFS(BasisProgramma[52],BasisProgramma[Element],$B33,BasisProgramma[Handeling],$C33)</f>
        <v>52</v>
      </c>
      <c r="I33" s="449">
        <f>SUMIFS(BasisProgramma[4],BasisProgramma[Element],$B33,BasisProgramma[Handeling],$C33)</f>
        <v>4</v>
      </c>
    </row>
    <row r="34" spans="2:9" x14ac:dyDescent="0.2">
      <c r="B34" s="422" t="s">
        <v>731</v>
      </c>
      <c r="C34" s="79" t="s">
        <v>733</v>
      </c>
      <c r="D34" s="447">
        <f>SUMIFS(BasisProgramma[255],BasisProgramma[Element],$B34,BasisProgramma[Handeling],$C34)</f>
        <v>203</v>
      </c>
      <c r="E34" s="448">
        <f>SUMIFS(BasisProgramma[204],BasisProgramma[Element],$B34,BasisProgramma[Handeling],$C34)</f>
        <v>152</v>
      </c>
      <c r="F34" s="448">
        <f>SUMIFS(BasisProgramma[156],BasisProgramma[Element],$B34,BasisProgramma[Handeling],$C34)</f>
        <v>104</v>
      </c>
      <c r="G34" s="448">
        <f>SUMIFS(BasisProgramma[104],BasisProgramma[Element],$B34,BasisProgramma[Handeling],$C34)</f>
        <v>52</v>
      </c>
      <c r="H34" s="448">
        <f>SUMIFS(BasisProgramma[52],BasisProgramma[Element],$B34,BasisProgramma[Handeling],$C34)</f>
        <v>0</v>
      </c>
      <c r="I34" s="449">
        <f>SUMIFS(BasisProgramma[4],BasisProgramma[Element],$B34,BasisProgramma[Handeling],$C34)</f>
        <v>0</v>
      </c>
    </row>
    <row r="35" spans="2:9" x14ac:dyDescent="0.2">
      <c r="B35" s="422" t="s">
        <v>731</v>
      </c>
      <c r="C35" s="79" t="s">
        <v>736</v>
      </c>
      <c r="D35" s="447">
        <f>SUMIFS(BasisProgramma[255],BasisProgramma[Element],$B35,BasisProgramma[Handeling],$C35)</f>
        <v>40</v>
      </c>
      <c r="E35" s="448">
        <f>SUMIFS(BasisProgramma[204],BasisProgramma[Element],$B35,BasisProgramma[Handeling],$C35)</f>
        <v>40</v>
      </c>
      <c r="F35" s="448">
        <f>SUMIFS(BasisProgramma[156],BasisProgramma[Element],$B35,BasisProgramma[Handeling],$C35)</f>
        <v>40</v>
      </c>
      <c r="G35" s="448">
        <f>SUMIFS(BasisProgramma[104],BasisProgramma[Element],$B35,BasisProgramma[Handeling],$C35)</f>
        <v>40</v>
      </c>
      <c r="H35" s="448">
        <f>SUMIFS(BasisProgramma[52],BasisProgramma[Element],$B35,BasisProgramma[Handeling],$C35)</f>
        <v>40</v>
      </c>
      <c r="I35" s="449">
        <f>SUMIFS(BasisProgramma[4],BasisProgramma[Element],$B35,BasisProgramma[Handeling],$C35)</f>
        <v>0</v>
      </c>
    </row>
    <row r="36" spans="2:9" x14ac:dyDescent="0.2">
      <c r="B36" s="422" t="s">
        <v>731</v>
      </c>
      <c r="C36" s="79" t="s">
        <v>737</v>
      </c>
      <c r="D36" s="447">
        <f>SUMIFS(BasisProgramma[255],BasisProgramma[Element],$B36,BasisProgramma[Handeling],$C36)</f>
        <v>12</v>
      </c>
      <c r="E36" s="448">
        <f>SUMIFS(BasisProgramma[204],BasisProgramma[Element],$B36,BasisProgramma[Handeling],$C36)</f>
        <v>12</v>
      </c>
      <c r="F36" s="448">
        <f>SUMIFS(BasisProgramma[156],BasisProgramma[Element],$B36,BasisProgramma[Handeling],$C36)</f>
        <v>12</v>
      </c>
      <c r="G36" s="448">
        <f>SUMIFS(BasisProgramma[104],BasisProgramma[Element],$B36,BasisProgramma[Handeling],$C36)</f>
        <v>12</v>
      </c>
      <c r="H36" s="448">
        <f>SUMIFS(BasisProgramma[52],BasisProgramma[Element],$B36,BasisProgramma[Handeling],$C36)</f>
        <v>12</v>
      </c>
      <c r="I36" s="449">
        <f>SUMIFS(BasisProgramma[4],BasisProgramma[Element],$B36,BasisProgramma[Handeling],$C36)</f>
        <v>4</v>
      </c>
    </row>
    <row r="37" spans="2:9" x14ac:dyDescent="0.2">
      <c r="B37" s="422" t="s">
        <v>454</v>
      </c>
      <c r="C37" s="79" t="s">
        <v>439</v>
      </c>
      <c r="D37" s="447">
        <f>SUMIFS(BasisProgramma[255],BasisProgramma[Element],$B37,BasisProgramma[Handeling],$C37)</f>
        <v>52</v>
      </c>
      <c r="E37" s="448">
        <f>SUMIFS(BasisProgramma[204],BasisProgramma[Element],$B37,BasisProgramma[Handeling],$C37)</f>
        <v>52</v>
      </c>
      <c r="F37" s="448">
        <f>SUMIFS(BasisProgramma[156],BasisProgramma[Element],$B37,BasisProgramma[Handeling],$C37)</f>
        <v>52</v>
      </c>
      <c r="G37" s="448">
        <f>SUMIFS(BasisProgramma[104],BasisProgramma[Element],$B37,BasisProgramma[Handeling],$C37)</f>
        <v>12</v>
      </c>
      <c r="H37" s="448">
        <f>SUMIFS(BasisProgramma[52],BasisProgramma[Element],$B37,BasisProgramma[Handeling],$C37)</f>
        <v>6</v>
      </c>
      <c r="I37" s="449">
        <f>SUMIFS(BasisProgramma[4],BasisProgramma[Element],$B37,BasisProgramma[Handeling],$C37)</f>
        <v>4</v>
      </c>
    </row>
    <row r="38" spans="2:9" x14ac:dyDescent="0.2">
      <c r="B38" s="422" t="s">
        <v>455</v>
      </c>
      <c r="C38" s="79" t="s">
        <v>456</v>
      </c>
      <c r="D38" s="447">
        <f>SUMIFS(BasisProgramma[255],BasisProgramma[Element],$B38,BasisProgramma[Handeling],$C38)</f>
        <v>52</v>
      </c>
      <c r="E38" s="448">
        <f>SUMIFS(BasisProgramma[204],BasisProgramma[Element],$B38,BasisProgramma[Handeling],$C38)</f>
        <v>52</v>
      </c>
      <c r="F38" s="448">
        <f>SUMIFS(BasisProgramma[156],BasisProgramma[Element],$B38,BasisProgramma[Handeling],$C38)</f>
        <v>52</v>
      </c>
      <c r="G38" s="448">
        <f>SUMIFS(BasisProgramma[104],BasisProgramma[Element],$B38,BasisProgramma[Handeling],$C38)</f>
        <v>12</v>
      </c>
      <c r="H38" s="448">
        <f>SUMIFS(BasisProgramma[52],BasisProgramma[Element],$B38,BasisProgramma[Handeling],$C38)</f>
        <v>12</v>
      </c>
      <c r="I38" s="449">
        <f>SUMIFS(BasisProgramma[4],BasisProgramma[Element],$B38,BasisProgramma[Handeling],$C38)</f>
        <v>4</v>
      </c>
    </row>
    <row r="39" spans="2:9" x14ac:dyDescent="0.2">
      <c r="B39" s="422" t="s">
        <v>474</v>
      </c>
      <c r="C39" s="79" t="s">
        <v>429</v>
      </c>
      <c r="D39" s="447">
        <f>SUMIFS(BasisProgramma[255],BasisProgramma[Element],$B39,BasisProgramma[Handeling],$C39)</f>
        <v>52</v>
      </c>
      <c r="E39" s="448">
        <f>SUMIFS(BasisProgramma[204],BasisProgramma[Element],$B39,BasisProgramma[Handeling],$C39)</f>
        <v>52</v>
      </c>
      <c r="F39" s="448">
        <f>SUMIFS(BasisProgramma[156],BasisProgramma[Element],$B39,BasisProgramma[Handeling],$C39)</f>
        <v>52</v>
      </c>
      <c r="G39" s="448">
        <f>SUMIFS(BasisProgramma[104],BasisProgramma[Element],$B39,BasisProgramma[Handeling],$C39)</f>
        <v>52</v>
      </c>
      <c r="H39" s="448">
        <f>SUMIFS(BasisProgramma[52],BasisProgramma[Element],$B39,BasisProgramma[Handeling],$C39)</f>
        <v>52</v>
      </c>
      <c r="I39" s="449">
        <f>SUMIFS(BasisProgramma[4],BasisProgramma[Element],$B39,BasisProgramma[Handeling],$C39)</f>
        <v>4</v>
      </c>
    </row>
    <row r="40" spans="2:9" x14ac:dyDescent="0.2">
      <c r="B40" s="54" t="s">
        <v>721</v>
      </c>
      <c r="C40" s="79" t="s">
        <v>467</v>
      </c>
      <c r="D40" s="447">
        <f>SUMIFS(BasisProgramma[255],BasisProgramma[Element],$B40,BasisProgramma[Handeling],$C40)</f>
        <v>255</v>
      </c>
      <c r="E40" s="448">
        <f>SUMIFS(BasisProgramma[204],BasisProgramma[Element],$B40,BasisProgramma[Handeling],$C40)</f>
        <v>204</v>
      </c>
      <c r="F40" s="448">
        <f>SUMIFS(BasisProgramma[156],BasisProgramma[Element],$B40,BasisProgramma[Handeling],$C40)</f>
        <v>156</v>
      </c>
      <c r="G40" s="448">
        <f>SUMIFS(BasisProgramma[104],BasisProgramma[Element],$B40,BasisProgramma[Handeling],$C40)</f>
        <v>104</v>
      </c>
      <c r="H40" s="448">
        <f>SUMIFS(BasisProgramma[52],BasisProgramma[Element],$B40,BasisProgramma[Handeling],$C40)</f>
        <v>52</v>
      </c>
      <c r="I40" s="449">
        <f>SUMIFS(BasisProgramma[4],BasisProgramma[Element],$B40,BasisProgramma[Handeling],$C40)</f>
        <v>4</v>
      </c>
    </row>
    <row r="41" spans="2:9" x14ac:dyDescent="0.2">
      <c r="B41" s="54" t="s">
        <v>721</v>
      </c>
      <c r="C41" s="79" t="s">
        <v>452</v>
      </c>
      <c r="D41" s="447">
        <f>SUMIFS(BasisProgramma[255],BasisProgramma[Element],$B41,BasisProgramma[Handeling],$C41)</f>
        <v>255</v>
      </c>
      <c r="E41" s="448">
        <f>SUMIFS(BasisProgramma[204],BasisProgramma[Element],$B41,BasisProgramma[Handeling],$C41)</f>
        <v>204</v>
      </c>
      <c r="F41" s="448">
        <f>SUMIFS(BasisProgramma[156],BasisProgramma[Element],$B41,BasisProgramma[Handeling],$C41)</f>
        <v>156</v>
      </c>
      <c r="G41" s="448">
        <f>SUMIFS(BasisProgramma[104],BasisProgramma[Element],$B41,BasisProgramma[Handeling],$C41)</f>
        <v>104</v>
      </c>
      <c r="H41" s="448">
        <f>SUMIFS(BasisProgramma[52],BasisProgramma[Element],$B41,BasisProgramma[Handeling],$C41)</f>
        <v>52</v>
      </c>
      <c r="I41" s="449">
        <f>SUMIFS(BasisProgramma[4],BasisProgramma[Element],$B41,BasisProgramma[Handeling],$C41)</f>
        <v>4</v>
      </c>
    </row>
    <row r="42" spans="2:9" x14ac:dyDescent="0.2">
      <c r="B42" s="54" t="s">
        <v>722</v>
      </c>
      <c r="C42" s="55" t="s">
        <v>734</v>
      </c>
      <c r="D42" s="447">
        <f>SUMIFS(BasisProgramma[255],BasisProgramma[Element],$B42,BasisProgramma[Handeling],$C42)</f>
        <v>255</v>
      </c>
      <c r="E42" s="448">
        <f>SUMIFS(BasisProgramma[204],BasisProgramma[Element],$B42,BasisProgramma[Handeling],$C42)</f>
        <v>204</v>
      </c>
      <c r="F42" s="448">
        <f>SUMIFS(BasisProgramma[156],BasisProgramma[Element],$B42,BasisProgramma[Handeling],$C42)</f>
        <v>156</v>
      </c>
      <c r="G42" s="448">
        <f>SUMIFS(BasisProgramma[104],BasisProgramma[Element],$B42,BasisProgramma[Handeling],$C42)</f>
        <v>104</v>
      </c>
      <c r="H42" s="448">
        <f>SUMIFS(BasisProgramma[52],BasisProgramma[Element],$B42,BasisProgramma[Handeling],$C42)</f>
        <v>52</v>
      </c>
      <c r="I42" s="449">
        <f>SUMIFS(BasisProgramma[4],BasisProgramma[Element],$B42,BasisProgramma[Handeling],$C42)</f>
        <v>4</v>
      </c>
    </row>
    <row r="43" spans="2:9" x14ac:dyDescent="0.2">
      <c r="B43" s="422" t="s">
        <v>436</v>
      </c>
      <c r="C43" s="79" t="s">
        <v>429</v>
      </c>
      <c r="D43" s="447">
        <f>SUMIFS(BasisProgramma[255],BasisProgramma[Element],$B43,BasisProgramma[Handeling],$C43)</f>
        <v>52</v>
      </c>
      <c r="E43" s="448">
        <f>SUMIFS(BasisProgramma[204],BasisProgramma[Element],$B43,BasisProgramma[Handeling],$C43)</f>
        <v>52</v>
      </c>
      <c r="F43" s="448">
        <f>SUMIFS(BasisProgramma[156],BasisProgramma[Element],$B43,BasisProgramma[Handeling],$C43)</f>
        <v>52</v>
      </c>
      <c r="G43" s="448">
        <f>SUMIFS(BasisProgramma[104],BasisProgramma[Element],$B43,BasisProgramma[Handeling],$C43)</f>
        <v>52</v>
      </c>
      <c r="H43" s="448">
        <f>SUMIFS(BasisProgramma[52],BasisProgramma[Element],$B43,BasisProgramma[Handeling],$C43)</f>
        <v>52</v>
      </c>
      <c r="I43" s="449">
        <f>SUMIFS(BasisProgramma[4],BasisProgramma[Element],$B43,BasisProgramma[Handeling],$C43)</f>
        <v>4</v>
      </c>
    </row>
    <row r="44" spans="2:9" x14ac:dyDescent="0.2">
      <c r="B44" s="422" t="s">
        <v>437</v>
      </c>
      <c r="C44" s="8" t="s">
        <v>738</v>
      </c>
      <c r="D44" s="450">
        <f>SUMIFS(BasisProgramma[255],BasisProgramma[Element],$B44,BasisProgramma[Handeling],$C44)</f>
        <v>251</v>
      </c>
      <c r="E44" s="451">
        <f>SUMIFS(BasisProgramma[204],BasisProgramma[Element],$B44,BasisProgramma[Handeling],$C44)</f>
        <v>200</v>
      </c>
      <c r="F44" s="451">
        <f>SUMIFS(BasisProgramma[156],BasisProgramma[Element],$B44,BasisProgramma[Handeling],$C44)</f>
        <v>152</v>
      </c>
      <c r="G44" s="451">
        <f>SUMIFS(BasisProgramma[104],BasisProgramma[Element],$B44,BasisProgramma[Handeling],$C44)</f>
        <v>100</v>
      </c>
      <c r="H44" s="451">
        <f>SUMIFS(BasisProgramma[52],BasisProgramma[Element],$B44,BasisProgramma[Handeling],$C44)</f>
        <v>50</v>
      </c>
      <c r="I44" s="452">
        <f>SUMIFS(BasisProgramma[4],BasisProgramma[Element],$B44,BasisProgramma[Handeling],$C44)</f>
        <v>0</v>
      </c>
    </row>
    <row r="45" spans="2:9" x14ac:dyDescent="0.2">
      <c r="B45" s="422" t="s">
        <v>437</v>
      </c>
      <c r="C45" s="8" t="s">
        <v>739</v>
      </c>
      <c r="D45" s="450">
        <f>SUMIFS(BasisProgramma[255],BasisProgramma[Element],$B45,BasisProgramma[Handeling],$C45)</f>
        <v>40</v>
      </c>
      <c r="E45" s="451">
        <f>SUMIFS(BasisProgramma[204],BasisProgramma[Element],$B45,BasisProgramma[Handeling],$C45)</f>
        <v>40</v>
      </c>
      <c r="F45" s="451">
        <f>SUMIFS(BasisProgramma[156],BasisProgramma[Element],$B45,BasisProgramma[Handeling],$C45)</f>
        <v>40</v>
      </c>
      <c r="G45" s="451">
        <f>SUMIFS(BasisProgramma[104],BasisProgramma[Element],$B45,BasisProgramma[Handeling],$C45)</f>
        <v>40</v>
      </c>
      <c r="H45" s="451">
        <f>SUMIFS(BasisProgramma[52],BasisProgramma[Element],$B45,BasisProgramma[Handeling],$C45)</f>
        <v>40</v>
      </c>
      <c r="I45" s="452">
        <f>SUMIFS(BasisProgramma[4],BasisProgramma[Element],$B45,BasisProgramma[Handeling],$C45)</f>
        <v>0</v>
      </c>
    </row>
    <row r="46" spans="2:9" x14ac:dyDescent="0.2">
      <c r="B46" s="422" t="s">
        <v>438</v>
      </c>
      <c r="C46" s="79" t="s">
        <v>439</v>
      </c>
      <c r="D46" s="450">
        <f>SUMIFS(BasisProgramma[255],BasisProgramma[Element],$B46,BasisProgramma[Handeling],$C46)</f>
        <v>8</v>
      </c>
      <c r="E46" s="451">
        <f>SUMIFS(BasisProgramma[204],BasisProgramma[Element],$B46,BasisProgramma[Handeling],$C46)</f>
        <v>8</v>
      </c>
      <c r="F46" s="451">
        <f>SUMIFS(BasisProgramma[156],BasisProgramma[Element],$B46,BasisProgramma[Handeling],$C46)</f>
        <v>8</v>
      </c>
      <c r="G46" s="451">
        <f>SUMIFS(BasisProgramma[104],BasisProgramma[Element],$B46,BasisProgramma[Handeling],$C46)</f>
        <v>8</v>
      </c>
      <c r="H46" s="451">
        <f>SUMIFS(BasisProgramma[52],BasisProgramma[Element],$B46,BasisProgramma[Handeling],$C46)</f>
        <v>4</v>
      </c>
      <c r="I46" s="452">
        <f>SUMIFS(BasisProgramma[4],BasisProgramma[Element],$B46,BasisProgramma[Handeling],$C46)</f>
        <v>0</v>
      </c>
    </row>
    <row r="47" spans="2:9" x14ac:dyDescent="0.2">
      <c r="B47" s="422" t="s">
        <v>437</v>
      </c>
      <c r="C47" s="79" t="s">
        <v>429</v>
      </c>
      <c r="D47" s="450">
        <f>SUMIFS(BasisProgramma[255],BasisProgramma[Element],$B47,BasisProgramma[Handeling],$C47)</f>
        <v>4</v>
      </c>
      <c r="E47" s="451">
        <f>SUMIFS(BasisProgramma[204],BasisProgramma[Element],$B47,BasisProgramma[Handeling],$C47)</f>
        <v>4</v>
      </c>
      <c r="F47" s="451">
        <f>SUMIFS(BasisProgramma[156],BasisProgramma[Element],$B47,BasisProgramma[Handeling],$C47)</f>
        <v>4</v>
      </c>
      <c r="G47" s="451">
        <f>SUMIFS(BasisProgramma[104],BasisProgramma[Element],$B47,BasisProgramma[Handeling],$C47)</f>
        <v>4</v>
      </c>
      <c r="H47" s="451">
        <f>SUMIFS(BasisProgramma[52],BasisProgramma[Element],$B47,BasisProgramma[Handeling],$C47)</f>
        <v>2</v>
      </c>
      <c r="I47" s="452">
        <f>SUMIFS(BasisProgramma[4],BasisProgramma[Element],$B47,BasisProgramma[Handeling],$C47)</f>
        <v>4</v>
      </c>
    </row>
    <row r="48" spans="2:9" x14ac:dyDescent="0.2">
      <c r="B48" s="422" t="s">
        <v>440</v>
      </c>
      <c r="C48" s="79" t="s">
        <v>740</v>
      </c>
      <c r="D48" s="450">
        <f>SUMIFS(BasisProgramma[255],BasisProgramma[Element],$B48,BasisProgramma[Handeling],$C48)</f>
        <v>251</v>
      </c>
      <c r="E48" s="451">
        <f>SUMIFS(BasisProgramma[204],BasisProgramma[Element],$B48,BasisProgramma[Handeling],$C48)</f>
        <v>200</v>
      </c>
      <c r="F48" s="451">
        <f>SUMIFS(BasisProgramma[156],BasisProgramma[Element],$B48,BasisProgramma[Handeling],$C48)</f>
        <v>152</v>
      </c>
      <c r="G48" s="451">
        <f>SUMIFS(BasisProgramma[104],BasisProgramma[Element],$B48,BasisProgramma[Handeling],$C48)</f>
        <v>100</v>
      </c>
      <c r="H48" s="451">
        <f>SUMIFS(BasisProgramma[52],BasisProgramma[Element],$B48,BasisProgramma[Handeling],$C48)</f>
        <v>50</v>
      </c>
      <c r="I48" s="449">
        <f>SUMIFS(BasisProgramma[4],BasisProgramma[Element],$B48,BasisProgramma[Handeling],$C48)</f>
        <v>0</v>
      </c>
    </row>
    <row r="49" spans="2:9" x14ac:dyDescent="0.2">
      <c r="B49" s="422" t="s">
        <v>440</v>
      </c>
      <c r="C49" s="79" t="s">
        <v>429</v>
      </c>
      <c r="D49" s="450">
        <f>SUMIFS(BasisProgramma[255],BasisProgramma[Element],$B49,BasisProgramma[Handeling],$C49)</f>
        <v>4</v>
      </c>
      <c r="E49" s="451">
        <f>SUMIFS(BasisProgramma[204],BasisProgramma[Element],$B49,BasisProgramma[Handeling],$C49)</f>
        <v>4</v>
      </c>
      <c r="F49" s="451">
        <f>SUMIFS(BasisProgramma[156],BasisProgramma[Element],$B49,BasisProgramma[Handeling],$C49)</f>
        <v>4</v>
      </c>
      <c r="G49" s="451">
        <f>SUMIFS(BasisProgramma[104],BasisProgramma[Element],$B49,BasisProgramma[Handeling],$C49)</f>
        <v>4</v>
      </c>
      <c r="H49" s="451">
        <f>SUMIFS(BasisProgramma[52],BasisProgramma[Element],$B49,BasisProgramma[Handeling],$C49)</f>
        <v>2</v>
      </c>
      <c r="I49" s="449">
        <f>SUMIFS(BasisProgramma[4],BasisProgramma[Element],$B49,BasisProgramma[Handeling],$C49)</f>
        <v>4</v>
      </c>
    </row>
    <row r="50" spans="2:9" x14ac:dyDescent="0.2">
      <c r="B50" s="422" t="s">
        <v>727</v>
      </c>
      <c r="C50" s="79" t="s">
        <v>441</v>
      </c>
      <c r="D50" s="447">
        <f>SUMIFS(BasisProgramma[255],BasisProgramma[Element],$B50,BasisProgramma[Handeling],$C50)</f>
        <v>52</v>
      </c>
      <c r="E50" s="448">
        <f>SUMIFS(BasisProgramma[204],BasisProgramma[Element],$B50,BasisProgramma[Handeling],$C50)</f>
        <v>52</v>
      </c>
      <c r="F50" s="448">
        <f>SUMIFS(BasisProgramma[156],BasisProgramma[Element],$B50,BasisProgramma[Handeling],$C50)</f>
        <v>12</v>
      </c>
      <c r="G50" s="448">
        <f>SUMIFS(BasisProgramma[104],BasisProgramma[Element],$B50,BasisProgramma[Handeling],$C50)</f>
        <v>12</v>
      </c>
      <c r="H50" s="448">
        <f>SUMIFS(BasisProgramma[52],BasisProgramma[Element],$B50,BasisProgramma[Handeling],$C50)</f>
        <v>12</v>
      </c>
      <c r="I50" s="449">
        <f>SUMIFS(BasisProgramma[4],BasisProgramma[Element],$B50,BasisProgramma[Handeling],$C50)</f>
        <v>4</v>
      </c>
    </row>
    <row r="51" spans="2:9" x14ac:dyDescent="0.2">
      <c r="B51" s="422" t="s">
        <v>475</v>
      </c>
      <c r="C51" s="8" t="s">
        <v>738</v>
      </c>
      <c r="D51" s="450">
        <f>SUMIFS(BasisProgramma[255],BasisProgramma[Element],$B51,BasisProgramma[Handeling],$C51)</f>
        <v>251</v>
      </c>
      <c r="E51" s="451">
        <f>SUMIFS(BasisProgramma[204],BasisProgramma[Element],$B51,BasisProgramma[Handeling],$C51)</f>
        <v>200</v>
      </c>
      <c r="F51" s="451">
        <f>SUMIFS(BasisProgramma[156],BasisProgramma[Element],$B51,BasisProgramma[Handeling],$C51)</f>
        <v>152</v>
      </c>
      <c r="G51" s="451">
        <f>SUMIFS(BasisProgramma[104],BasisProgramma[Element],$B51,BasisProgramma[Handeling],$C51)</f>
        <v>100</v>
      </c>
      <c r="H51" s="451">
        <f>SUMIFS(BasisProgramma[52],BasisProgramma[Element],$B51,BasisProgramma[Handeling],$C51)</f>
        <v>50</v>
      </c>
      <c r="I51" s="452">
        <f>SUMIFS(BasisProgramma[4],BasisProgramma[Element],$B51,BasisProgramma[Handeling],$C51)</f>
        <v>0</v>
      </c>
    </row>
    <row r="52" spans="2:9" x14ac:dyDescent="0.2">
      <c r="B52" s="422" t="s">
        <v>475</v>
      </c>
      <c r="C52" s="8" t="s">
        <v>739</v>
      </c>
      <c r="D52" s="450">
        <f>SUMIFS(BasisProgramma[255],BasisProgramma[Element],$B52,BasisProgramma[Handeling],$C52)</f>
        <v>40</v>
      </c>
      <c r="E52" s="451">
        <f>SUMIFS(BasisProgramma[204],BasisProgramma[Element],$B52,BasisProgramma[Handeling],$C52)</f>
        <v>40</v>
      </c>
      <c r="F52" s="451">
        <f>SUMIFS(BasisProgramma[156],BasisProgramma[Element],$B52,BasisProgramma[Handeling],$C52)</f>
        <v>40</v>
      </c>
      <c r="G52" s="451">
        <f>SUMIFS(BasisProgramma[104],BasisProgramma[Element],$B52,BasisProgramma[Handeling],$C52)</f>
        <v>40</v>
      </c>
      <c r="H52" s="451">
        <f>SUMIFS(BasisProgramma[52],BasisProgramma[Element],$B52,BasisProgramma[Handeling],$C52)</f>
        <v>40</v>
      </c>
      <c r="I52" s="452">
        <f>SUMIFS(BasisProgramma[4],BasisProgramma[Element],$B52,BasisProgramma[Handeling],$C52)</f>
        <v>0</v>
      </c>
    </row>
    <row r="53" spans="2:9" x14ac:dyDescent="0.2">
      <c r="B53" s="422" t="s">
        <v>475</v>
      </c>
      <c r="C53" s="79" t="s">
        <v>439</v>
      </c>
      <c r="D53" s="450">
        <f>SUMIFS(BasisProgramma[255],BasisProgramma[Element],$B53,BasisProgramma[Handeling],$C53)</f>
        <v>8</v>
      </c>
      <c r="E53" s="451">
        <f>SUMIFS(BasisProgramma[204],BasisProgramma[Element],$B53,BasisProgramma[Handeling],$C53)</f>
        <v>8</v>
      </c>
      <c r="F53" s="451">
        <f>SUMIFS(BasisProgramma[156],BasisProgramma[Element],$B53,BasisProgramma[Handeling],$C53)</f>
        <v>8</v>
      </c>
      <c r="G53" s="451">
        <f>SUMIFS(BasisProgramma[104],BasisProgramma[Element],$B53,BasisProgramma[Handeling],$C53)</f>
        <v>8</v>
      </c>
      <c r="H53" s="451">
        <f>SUMIFS(BasisProgramma[52],BasisProgramma[Element],$B53,BasisProgramma[Handeling],$C53)</f>
        <v>4</v>
      </c>
      <c r="I53" s="452">
        <f>SUMIFS(BasisProgramma[4],BasisProgramma[Element],$B53,BasisProgramma[Handeling],$C53)</f>
        <v>0</v>
      </c>
    </row>
    <row r="54" spans="2:9" x14ac:dyDescent="0.2">
      <c r="B54" s="422" t="s">
        <v>475</v>
      </c>
      <c r="C54" s="79" t="s">
        <v>429</v>
      </c>
      <c r="D54" s="450">
        <f>SUMIFS(BasisProgramma[255],BasisProgramma[Element],$B54,BasisProgramma[Handeling],$C54)</f>
        <v>4</v>
      </c>
      <c r="E54" s="451">
        <f>SUMIFS(BasisProgramma[204],BasisProgramma[Element],$B54,BasisProgramma[Handeling],$C54)</f>
        <v>4</v>
      </c>
      <c r="F54" s="451">
        <f>SUMIFS(BasisProgramma[156],BasisProgramma[Element],$B54,BasisProgramma[Handeling],$C54)</f>
        <v>4</v>
      </c>
      <c r="G54" s="451">
        <f>SUMIFS(BasisProgramma[104],BasisProgramma[Element],$B54,BasisProgramma[Handeling],$C54)</f>
        <v>4</v>
      </c>
      <c r="H54" s="451">
        <f>SUMIFS(BasisProgramma[52],BasisProgramma[Element],$B54,BasisProgramma[Handeling],$C54)</f>
        <v>2</v>
      </c>
      <c r="I54" s="452">
        <f>SUMIFS(BasisProgramma[4],BasisProgramma[Element],$B54,BasisProgramma[Handeling],$C54)</f>
        <v>4</v>
      </c>
    </row>
    <row r="55" spans="2:9" x14ac:dyDescent="0.2">
      <c r="B55" s="422" t="s">
        <v>476</v>
      </c>
      <c r="C55" s="79" t="s">
        <v>441</v>
      </c>
      <c r="D55" s="447">
        <f>SUMIFS(BasisProgramma[255],BasisProgramma[Element],$B55,BasisProgramma[Handeling],$C55)</f>
        <v>52</v>
      </c>
      <c r="E55" s="448">
        <f>SUMIFS(BasisProgramma[204],BasisProgramma[Element],$B55,BasisProgramma[Handeling],$C55)</f>
        <v>52</v>
      </c>
      <c r="F55" s="448">
        <f>SUMIFS(BasisProgramma[156],BasisProgramma[Element],$B55,BasisProgramma[Handeling],$C55)</f>
        <v>52</v>
      </c>
      <c r="G55" s="448">
        <f>SUMIFS(BasisProgramma[104],BasisProgramma[Element],$B55,BasisProgramma[Handeling],$C55)</f>
        <v>12</v>
      </c>
      <c r="H55" s="448">
        <f>SUMIFS(BasisProgramma[52],BasisProgramma[Element],$B55,BasisProgramma[Handeling],$C55)</f>
        <v>12</v>
      </c>
      <c r="I55" s="449">
        <f>SUMIFS(BasisProgramma[4],BasisProgramma[Element],$B55,BasisProgramma[Handeling],$C55)</f>
        <v>4</v>
      </c>
    </row>
    <row r="56" spans="2:9" x14ac:dyDescent="0.2">
      <c r="B56" s="422" t="s">
        <v>442</v>
      </c>
      <c r="C56" s="79" t="s">
        <v>443</v>
      </c>
      <c r="D56" s="447">
        <f>SUMIFS(BasisProgramma[255],BasisProgramma[Element],$B56,BasisProgramma[Handeling],$C56)</f>
        <v>2</v>
      </c>
      <c r="E56" s="448">
        <f>SUMIFS(BasisProgramma[204],BasisProgramma[Element],$B56,BasisProgramma[Handeling],$C56)</f>
        <v>2</v>
      </c>
      <c r="F56" s="448">
        <f>SUMIFS(BasisProgramma[156],BasisProgramma[Element],$B56,BasisProgramma[Handeling],$C56)</f>
        <v>2</v>
      </c>
      <c r="G56" s="448">
        <f>SUMIFS(BasisProgramma[104],BasisProgramma[Element],$B56,BasisProgramma[Handeling],$C56)</f>
        <v>2</v>
      </c>
      <c r="H56" s="448">
        <f>SUMIFS(BasisProgramma[52],BasisProgramma[Element],$B56,BasisProgramma[Handeling],$C56)</f>
        <v>2</v>
      </c>
      <c r="I56" s="449">
        <f>SUMIFS(BasisProgramma[4],BasisProgramma[Element],$B56,BasisProgramma[Handeling],$C56)</f>
        <v>2</v>
      </c>
    </row>
    <row r="57" spans="2:9" x14ac:dyDescent="0.2">
      <c r="B57" s="54" t="s">
        <v>726</v>
      </c>
      <c r="C57" s="79" t="s">
        <v>467</v>
      </c>
      <c r="D57" s="447">
        <f>SUMIFS(BasisProgramma[255],BasisProgramma[Element],$B57,BasisProgramma[Handeling],$C57)</f>
        <v>255</v>
      </c>
      <c r="E57" s="448">
        <f>SUMIFS(BasisProgramma[204],BasisProgramma[Element],$B57,BasisProgramma[Handeling],$C57)</f>
        <v>204</v>
      </c>
      <c r="F57" s="448">
        <f>SUMIFS(BasisProgramma[156],BasisProgramma[Element],$B57,BasisProgramma[Handeling],$C57)</f>
        <v>156</v>
      </c>
      <c r="G57" s="448">
        <f>SUMIFS(BasisProgramma[104],BasisProgramma[Element],$B57,BasisProgramma[Handeling],$C57)</f>
        <v>104</v>
      </c>
      <c r="H57" s="448">
        <f>SUMIFS(BasisProgramma[52],BasisProgramma[Element],$B57,BasisProgramma[Handeling],$C57)</f>
        <v>52</v>
      </c>
      <c r="I57" s="449">
        <f>SUMIFS(BasisProgramma[4],BasisProgramma[Element],$B57,BasisProgramma[Handeling],$C57)</f>
        <v>4</v>
      </c>
    </row>
    <row r="58" spans="2:9" x14ac:dyDescent="0.2">
      <c r="B58" s="54" t="s">
        <v>726</v>
      </c>
      <c r="C58" s="79" t="s">
        <v>735</v>
      </c>
      <c r="D58" s="447">
        <f>SUMIFS(BasisProgramma[255],BasisProgramma[Element],$B58,BasisProgramma[Handeling],$C58)</f>
        <v>203</v>
      </c>
      <c r="E58" s="448">
        <f>SUMIFS(BasisProgramma[204],BasisProgramma[Element],$B58,BasisProgramma[Handeling],$C58)</f>
        <v>152</v>
      </c>
      <c r="F58" s="448">
        <f>SUMIFS(BasisProgramma[156],BasisProgramma[Element],$B58,BasisProgramma[Handeling],$C58)</f>
        <v>104</v>
      </c>
      <c r="G58" s="448">
        <f>SUMIFS(BasisProgramma[104],BasisProgramma[Element],$B58,BasisProgramma[Handeling],$C58)</f>
        <v>52</v>
      </c>
      <c r="H58" s="448">
        <f>SUMIFS(BasisProgramma[52],BasisProgramma[Element],$B58,BasisProgramma[Handeling],$C58)</f>
        <v>0</v>
      </c>
      <c r="I58" s="449">
        <f>SUMIFS(BasisProgramma[4],BasisProgramma[Element],$B58,BasisProgramma[Handeling],$C58)</f>
        <v>0</v>
      </c>
    </row>
    <row r="59" spans="2:9" x14ac:dyDescent="0.2">
      <c r="B59" s="54" t="s">
        <v>726</v>
      </c>
      <c r="C59" s="55" t="s">
        <v>452</v>
      </c>
      <c r="D59" s="453">
        <f>SUMIFS(BasisProgramma[255],BasisProgramma[Element],$B59,BasisProgramma[Handeling],$C59)</f>
        <v>52</v>
      </c>
      <c r="E59" s="454">
        <f>SUMIFS(BasisProgramma[204],BasisProgramma[Element],$B59,BasisProgramma[Handeling],$C59)</f>
        <v>52</v>
      </c>
      <c r="F59" s="454">
        <f>SUMIFS(BasisProgramma[156],BasisProgramma[Element],$B59,BasisProgramma[Handeling],$C59)</f>
        <v>52</v>
      </c>
      <c r="G59" s="454">
        <f>SUMIFS(BasisProgramma[104],BasisProgramma[Element],$B59,BasisProgramma[Handeling],$C59)</f>
        <v>52</v>
      </c>
      <c r="H59" s="454">
        <f>SUMIFS(BasisProgramma[52],BasisProgramma[Element],$B59,BasisProgramma[Handeling],$C59)</f>
        <v>52</v>
      </c>
      <c r="I59" s="455">
        <f>SUMIFS(BasisProgramma[4],BasisProgramma[Element],$B59,BasisProgramma[Handeling],$C59)</f>
        <v>4</v>
      </c>
    </row>
    <row r="60" spans="2:9" x14ac:dyDescent="0.2">
      <c r="B60" s="422" t="s">
        <v>457</v>
      </c>
      <c r="C60" s="79" t="s">
        <v>441</v>
      </c>
      <c r="D60" s="447">
        <f>SUMIFS(BasisProgramma[255],BasisProgramma[Element],$B60,BasisProgramma[Handeling],$C60)</f>
        <v>2</v>
      </c>
      <c r="E60" s="448">
        <f>SUMIFS(BasisProgramma[204],BasisProgramma[Element],$B60,BasisProgramma[Handeling],$C60)</f>
        <v>2</v>
      </c>
      <c r="F60" s="448">
        <f>SUMIFS(BasisProgramma[156],BasisProgramma[Element],$B60,BasisProgramma[Handeling],$C60)</f>
        <v>2</v>
      </c>
      <c r="G60" s="448">
        <f>SUMIFS(BasisProgramma[104],BasisProgramma[Element],$B60,BasisProgramma[Handeling],$C60)</f>
        <v>2</v>
      </c>
      <c r="H60" s="448">
        <f>SUMIFS(BasisProgramma[52],BasisProgramma[Element],$B60,BasisProgramma[Handeling],$C60)</f>
        <v>2</v>
      </c>
      <c r="I60" s="449">
        <f>SUMIFS(BasisProgramma[4],BasisProgramma[Element],$B60,BasisProgramma[Handeling],$C60)</f>
        <v>2</v>
      </c>
    </row>
    <row r="61" spans="2:9" x14ac:dyDescent="0.2">
      <c r="B61" s="422" t="s">
        <v>500</v>
      </c>
      <c r="C61" s="79" t="s">
        <v>428</v>
      </c>
      <c r="D61" s="447">
        <f>SUMIFS(BasisProgramma[255],BasisProgramma[Element],$B61,BasisProgramma[Handeling],$C61)</f>
        <v>243</v>
      </c>
      <c r="E61" s="448">
        <f>SUMIFS(BasisProgramma[204],BasisProgramma[Element],$B61,BasisProgramma[Handeling],$C61)</f>
        <v>192</v>
      </c>
      <c r="F61" s="448">
        <f>SUMIFS(BasisProgramma[156],BasisProgramma[Element],$B61,BasisProgramma[Handeling],$C61)</f>
        <v>144</v>
      </c>
      <c r="G61" s="448">
        <f>SUMIFS(BasisProgramma[104],BasisProgramma[Element],$B61,BasisProgramma[Handeling],$C61)</f>
        <v>92</v>
      </c>
      <c r="H61" s="448">
        <f>SUMIFS(BasisProgramma[52],BasisProgramma[Element],$B61,BasisProgramma[Handeling],$C61)</f>
        <v>46</v>
      </c>
      <c r="I61" s="449">
        <f>SUMIFS(BasisProgramma[4],BasisProgramma[Element],$B61,BasisProgramma[Handeling],$C61)</f>
        <v>0</v>
      </c>
    </row>
    <row r="62" spans="2:9" x14ac:dyDescent="0.2">
      <c r="B62" s="422" t="s">
        <v>500</v>
      </c>
      <c r="C62" s="79" t="s">
        <v>452</v>
      </c>
      <c r="D62" s="447">
        <f>SUMIFS(BasisProgramma[255],BasisProgramma[Element],$B62,BasisProgramma[Handeling],$C62)</f>
        <v>12</v>
      </c>
      <c r="E62" s="448">
        <f>SUMIFS(BasisProgramma[204],BasisProgramma[Element],$B62,BasisProgramma[Handeling],$C62)</f>
        <v>12</v>
      </c>
      <c r="F62" s="448">
        <f>SUMIFS(BasisProgramma[156],BasisProgramma[Element],$B62,BasisProgramma[Handeling],$C62)</f>
        <v>12</v>
      </c>
      <c r="G62" s="448">
        <f>SUMIFS(BasisProgramma[104],BasisProgramma[Element],$B62,BasisProgramma[Handeling],$C62)</f>
        <v>12</v>
      </c>
      <c r="H62" s="448">
        <f>SUMIFS(BasisProgramma[52],BasisProgramma[Element],$B62,BasisProgramma[Handeling],$C62)</f>
        <v>6</v>
      </c>
      <c r="I62" s="449">
        <f>SUMIFS(BasisProgramma[4],BasisProgramma[Element],$B62,BasisProgramma[Handeling],$C62)</f>
        <v>4</v>
      </c>
    </row>
    <row r="63" spans="2:9" x14ac:dyDescent="0.2">
      <c r="B63" s="422" t="s">
        <v>477</v>
      </c>
      <c r="C63" s="79" t="s">
        <v>441</v>
      </c>
      <c r="D63" s="447">
        <f>SUMIFS(BasisProgramma[255],BasisProgramma[Element],$B63,BasisProgramma[Handeling],$C63)</f>
        <v>255</v>
      </c>
      <c r="E63" s="448">
        <f>SUMIFS(BasisProgramma[204],BasisProgramma[Element],$B63,BasisProgramma[Handeling],$C63)</f>
        <v>204</v>
      </c>
      <c r="F63" s="448">
        <f>SUMIFS(BasisProgramma[156],BasisProgramma[Element],$B63,BasisProgramma[Handeling],$C63)</f>
        <v>156</v>
      </c>
      <c r="G63" s="448">
        <f>SUMIFS(BasisProgramma[104],BasisProgramma[Element],$B63,BasisProgramma[Handeling],$C63)</f>
        <v>104</v>
      </c>
      <c r="H63" s="448">
        <f>SUMIFS(BasisProgramma[52],BasisProgramma[Element],$B63,BasisProgramma[Handeling],$C63)</f>
        <v>52</v>
      </c>
      <c r="I63" s="449">
        <f>SUMIFS(BasisProgramma[4],BasisProgramma[Element],$B63,BasisProgramma[Handeling],$C63)</f>
        <v>4</v>
      </c>
    </row>
    <row r="64" spans="2:9" x14ac:dyDescent="0.2">
      <c r="B64" s="422" t="s">
        <v>478</v>
      </c>
      <c r="C64" s="79" t="s">
        <v>479</v>
      </c>
      <c r="D64" s="447">
        <f>SUMIFS(BasisProgramma[255],BasisProgramma[Element],$B64,BasisProgramma[Handeling],$C64)</f>
        <v>52</v>
      </c>
      <c r="E64" s="448">
        <f>SUMIFS(BasisProgramma[204],BasisProgramma[Element],$B64,BasisProgramma[Handeling],$C64)</f>
        <v>52</v>
      </c>
      <c r="F64" s="448">
        <f>SUMIFS(BasisProgramma[156],BasisProgramma[Element],$B64,BasisProgramma[Handeling],$C64)</f>
        <v>52</v>
      </c>
      <c r="G64" s="448">
        <f>SUMIFS(BasisProgramma[104],BasisProgramma[Element],$B64,BasisProgramma[Handeling],$C64)</f>
        <v>52</v>
      </c>
      <c r="H64" s="448">
        <f>SUMIFS(BasisProgramma[52],BasisProgramma[Element],$B64,BasisProgramma[Handeling],$C64)</f>
        <v>52</v>
      </c>
      <c r="I64" s="449">
        <f>SUMIFS(BasisProgramma[4],BasisProgramma[Element],$B64,BasisProgramma[Handeling],$C64)</f>
        <v>4</v>
      </c>
    </row>
    <row r="65" spans="2:9" x14ac:dyDescent="0.2">
      <c r="B65" s="422" t="s">
        <v>501</v>
      </c>
      <c r="C65" s="79" t="s">
        <v>441</v>
      </c>
      <c r="D65" s="447">
        <f>SUMIFS(BasisProgramma[255],BasisProgramma[Element],$B65,BasisProgramma[Handeling],$C65)</f>
        <v>52</v>
      </c>
      <c r="E65" s="448">
        <f>SUMIFS(BasisProgramma[204],BasisProgramma[Element],$B65,BasisProgramma[Handeling],$C65)</f>
        <v>52</v>
      </c>
      <c r="F65" s="448">
        <f>SUMIFS(BasisProgramma[156],BasisProgramma[Element],$B65,BasisProgramma[Handeling],$C65)</f>
        <v>52</v>
      </c>
      <c r="G65" s="448">
        <f>SUMIFS(BasisProgramma[104],BasisProgramma[Element],$B65,BasisProgramma[Handeling],$C65)</f>
        <v>52</v>
      </c>
      <c r="H65" s="448">
        <f>SUMIFS(BasisProgramma[52],BasisProgramma[Element],$B65,BasisProgramma[Handeling],$C65)</f>
        <v>52</v>
      </c>
      <c r="I65" s="449">
        <f>SUMIFS(BasisProgramma[4],BasisProgramma[Element],$B65,BasisProgramma[Handeling],$C65)</f>
        <v>4</v>
      </c>
    </row>
    <row r="66" spans="2:9" x14ac:dyDescent="0.2">
      <c r="B66" s="422" t="s">
        <v>466</v>
      </c>
      <c r="C66" s="79" t="s">
        <v>467</v>
      </c>
      <c r="D66" s="447">
        <f>SUMIFS(BasisProgramma[255],BasisProgramma[Element],$B66,BasisProgramma[Handeling],$C66)</f>
        <v>255</v>
      </c>
      <c r="E66" s="448">
        <f>SUMIFS(BasisProgramma[204],BasisProgramma[Element],$B66,BasisProgramma[Handeling],$C66)</f>
        <v>204</v>
      </c>
      <c r="F66" s="448">
        <f>SUMIFS(BasisProgramma[156],BasisProgramma[Element],$B66,BasisProgramma[Handeling],$C66)</f>
        <v>156</v>
      </c>
      <c r="G66" s="448">
        <f>SUMIFS(BasisProgramma[104],BasisProgramma[Element],$B66,BasisProgramma[Handeling],$C66)</f>
        <v>104</v>
      </c>
      <c r="H66" s="448">
        <f>SUMIFS(BasisProgramma[52],BasisProgramma[Element],$B66,BasisProgramma[Handeling],$C66)</f>
        <v>52</v>
      </c>
      <c r="I66" s="449">
        <f>SUMIFS(BasisProgramma[4],BasisProgramma[Element],$B66,BasisProgramma[Handeling],$C66)</f>
        <v>4</v>
      </c>
    </row>
    <row r="67" spans="2:9" x14ac:dyDescent="0.2">
      <c r="B67" s="422" t="s">
        <v>486</v>
      </c>
      <c r="C67" s="79" t="s">
        <v>452</v>
      </c>
      <c r="D67" s="447">
        <f>SUMIFS(BasisProgramma[255],BasisProgramma[Element],$B67,BasisProgramma[Handeling],$C67)</f>
        <v>255</v>
      </c>
      <c r="E67" s="448">
        <f>SUMIFS(BasisProgramma[204],BasisProgramma[Element],$B67,BasisProgramma[Handeling],$C67)</f>
        <v>204</v>
      </c>
      <c r="F67" s="448">
        <f>SUMIFS(BasisProgramma[156],BasisProgramma[Element],$B67,BasisProgramma[Handeling],$C67)</f>
        <v>156</v>
      </c>
      <c r="G67" s="448">
        <f>SUMIFS(BasisProgramma[104],BasisProgramma[Element],$B67,BasisProgramma[Handeling],$C67)</f>
        <v>104</v>
      </c>
      <c r="H67" s="448">
        <f>SUMIFS(BasisProgramma[52],BasisProgramma[Element],$B67,BasisProgramma[Handeling],$C67)</f>
        <v>52</v>
      </c>
      <c r="I67" s="449">
        <f>SUMIFS(BasisProgramma[4],BasisProgramma[Element],$B67,BasisProgramma[Handeling],$C67)</f>
        <v>4</v>
      </c>
    </row>
    <row r="68" spans="2:9" x14ac:dyDescent="0.2">
      <c r="B68" s="54" t="s">
        <v>728</v>
      </c>
      <c r="C68" s="79" t="s">
        <v>441</v>
      </c>
      <c r="D68" s="447">
        <f>SUMIFS(BasisProgramma[255],BasisProgramma[Element],$B68,BasisProgramma[Handeling],$C68)</f>
        <v>255</v>
      </c>
      <c r="E68" s="448">
        <f>SUMIFS(BasisProgramma[204],BasisProgramma[Element],$B68,BasisProgramma[Handeling],$C68)</f>
        <v>204</v>
      </c>
      <c r="F68" s="448">
        <f>SUMIFS(BasisProgramma[156],BasisProgramma[Element],$B68,BasisProgramma[Handeling],$C68)</f>
        <v>156</v>
      </c>
      <c r="G68" s="448">
        <f>SUMIFS(BasisProgramma[104],BasisProgramma[Element],$B68,BasisProgramma[Handeling],$C68)</f>
        <v>104</v>
      </c>
      <c r="H68" s="448">
        <f>SUMIFS(BasisProgramma[52],BasisProgramma[Element],$B68,BasisProgramma[Handeling],$C68)</f>
        <v>52</v>
      </c>
      <c r="I68" s="449">
        <f>SUMIFS(BasisProgramma[4],BasisProgramma[Element],$B68,BasisProgramma[Handeling],$C68)</f>
        <v>4</v>
      </c>
    </row>
    <row r="69" spans="2:9" x14ac:dyDescent="0.2">
      <c r="B69" s="422" t="s">
        <v>487</v>
      </c>
      <c r="C69" s="79" t="s">
        <v>428</v>
      </c>
      <c r="D69" s="447">
        <f>SUMIFS(BasisProgramma[255],BasisProgramma[Element],$B69,BasisProgramma[Handeling],$C69)</f>
        <v>255</v>
      </c>
      <c r="E69" s="448">
        <f>SUMIFS(BasisProgramma[204],BasisProgramma[Element],$B69,BasisProgramma[Handeling],$C69)</f>
        <v>204</v>
      </c>
      <c r="F69" s="448">
        <f>SUMIFS(BasisProgramma[156],BasisProgramma[Element],$B69,BasisProgramma[Handeling],$C69)</f>
        <v>156</v>
      </c>
      <c r="G69" s="448">
        <f>SUMIFS(BasisProgramma[104],BasisProgramma[Element],$B69,BasisProgramma[Handeling],$C69)</f>
        <v>104</v>
      </c>
      <c r="H69" s="448">
        <f>SUMIFS(BasisProgramma[52],BasisProgramma[Element],$B69,BasisProgramma[Handeling],$C69)</f>
        <v>52</v>
      </c>
      <c r="I69" s="449">
        <f>SUMIFS(BasisProgramma[4],BasisProgramma[Element],$B69,BasisProgramma[Handeling],$C69)</f>
        <v>4</v>
      </c>
    </row>
    <row r="70" spans="2:9" x14ac:dyDescent="0.2">
      <c r="B70" s="422" t="s">
        <v>444</v>
      </c>
      <c r="C70" s="79" t="s">
        <v>435</v>
      </c>
      <c r="D70" s="447">
        <f>SUMIFS(BasisProgramma[255],BasisProgramma[Element],$B70,BasisProgramma[Handeling],$C70)</f>
        <v>255</v>
      </c>
      <c r="E70" s="448">
        <f>SUMIFS(BasisProgramma[204],BasisProgramma[Element],$B70,BasisProgramma[Handeling],$C70)</f>
        <v>204</v>
      </c>
      <c r="F70" s="448">
        <f>SUMIFS(BasisProgramma[156],BasisProgramma[Element],$B70,BasisProgramma[Handeling],$C70)</f>
        <v>156</v>
      </c>
      <c r="G70" s="448">
        <f>SUMIFS(BasisProgramma[104],BasisProgramma[Element],$B70,BasisProgramma[Handeling],$C70)</f>
        <v>104</v>
      </c>
      <c r="H70" s="448">
        <f>SUMIFS(BasisProgramma[52],BasisProgramma[Element],$B70,BasisProgramma[Handeling],$C70)</f>
        <v>52</v>
      </c>
      <c r="I70" s="449">
        <f>SUMIFS(BasisProgramma[4],BasisProgramma[Element],$B70,BasisProgramma[Handeling],$C70)</f>
        <v>4</v>
      </c>
    </row>
    <row r="71" spans="2:9" x14ac:dyDescent="0.2">
      <c r="B71" s="422" t="s">
        <v>458</v>
      </c>
      <c r="C71" s="79" t="s">
        <v>441</v>
      </c>
      <c r="D71" s="447">
        <f>SUMIFS(BasisProgramma[255],BasisProgramma[Element],$B71,BasisProgramma[Handeling],$C71)</f>
        <v>255</v>
      </c>
      <c r="E71" s="448">
        <f>SUMIFS(BasisProgramma[204],BasisProgramma[Element],$B71,BasisProgramma[Handeling],$C71)</f>
        <v>204</v>
      </c>
      <c r="F71" s="448">
        <f>SUMIFS(BasisProgramma[156],BasisProgramma[Element],$B71,BasisProgramma[Handeling],$C71)</f>
        <v>156</v>
      </c>
      <c r="G71" s="448">
        <f>SUMIFS(BasisProgramma[104],BasisProgramma[Element],$B71,BasisProgramma[Handeling],$C71)</f>
        <v>104</v>
      </c>
      <c r="H71" s="448">
        <f>SUMIFS(BasisProgramma[52],BasisProgramma[Element],$B71,BasisProgramma[Handeling],$C71)</f>
        <v>52</v>
      </c>
      <c r="I71" s="449">
        <f>SUMIFS(BasisProgramma[4],BasisProgramma[Element],$B71,BasisProgramma[Handeling],$C71)</f>
        <v>4</v>
      </c>
    </row>
    <row r="72" spans="2:9" x14ac:dyDescent="0.2">
      <c r="B72" s="422" t="s">
        <v>445</v>
      </c>
      <c r="C72" s="79" t="s">
        <v>446</v>
      </c>
      <c r="D72" s="447">
        <f>SUMIFS(BasisProgramma[255],BasisProgramma[Element],$B72,BasisProgramma[Handeling],$C72)</f>
        <v>255</v>
      </c>
      <c r="E72" s="448">
        <f>SUMIFS(BasisProgramma[204],BasisProgramma[Element],$B72,BasisProgramma[Handeling],$C72)</f>
        <v>204</v>
      </c>
      <c r="F72" s="448">
        <f>SUMIFS(BasisProgramma[156],BasisProgramma[Element],$B72,BasisProgramma[Handeling],$C72)</f>
        <v>156</v>
      </c>
      <c r="G72" s="448">
        <f>SUMIFS(BasisProgramma[104],BasisProgramma[Element],$B72,BasisProgramma[Handeling],$C72)</f>
        <v>104</v>
      </c>
      <c r="H72" s="448">
        <f>SUMIFS(BasisProgramma[52],BasisProgramma[Element],$B72,BasisProgramma[Handeling],$C72)</f>
        <v>52</v>
      </c>
      <c r="I72" s="449">
        <f>SUMIFS(BasisProgramma[4],BasisProgramma[Element],$B72,BasisProgramma[Handeling],$C72)</f>
        <v>4</v>
      </c>
    </row>
    <row r="73" spans="2:9" x14ac:dyDescent="0.2">
      <c r="B73" s="422" t="s">
        <v>495</v>
      </c>
      <c r="C73" s="79" t="s">
        <v>496</v>
      </c>
      <c r="D73" s="447">
        <f>SUMIFS(BasisProgramma[255],BasisProgramma[Element],$B73,BasisProgramma[Handeling],$C73)</f>
        <v>203</v>
      </c>
      <c r="E73" s="448">
        <f>SUMIFS(BasisProgramma[204],BasisProgramma[Element],$B73,BasisProgramma[Handeling],$C73)</f>
        <v>152</v>
      </c>
      <c r="F73" s="448">
        <f>SUMIFS(BasisProgramma[156],BasisProgramma[Element],$B73,BasisProgramma[Handeling],$C73)</f>
        <v>104</v>
      </c>
      <c r="G73" s="448">
        <f>SUMIFS(BasisProgramma[104],BasisProgramma[Element],$B73,BasisProgramma[Handeling],$C73)</f>
        <v>92</v>
      </c>
      <c r="H73" s="448">
        <f>SUMIFS(BasisProgramma[52],BasisProgramma[Element],$B73,BasisProgramma[Handeling],$C73)</f>
        <v>40</v>
      </c>
      <c r="I73" s="449">
        <f>SUMIFS(BasisProgramma[4],BasisProgramma[Element],$B73,BasisProgramma[Handeling],$C73)</f>
        <v>0</v>
      </c>
    </row>
    <row r="74" spans="2:9" x14ac:dyDescent="0.2">
      <c r="B74" s="422" t="s">
        <v>495</v>
      </c>
      <c r="C74" s="79" t="s">
        <v>497</v>
      </c>
      <c r="D74" s="447">
        <f>SUMIFS(BasisProgramma[255],BasisProgramma[Element],$B74,BasisProgramma[Handeling],$C74)</f>
        <v>52</v>
      </c>
      <c r="E74" s="448">
        <f>SUMIFS(BasisProgramma[204],BasisProgramma[Element],$B74,BasisProgramma[Handeling],$C74)</f>
        <v>52</v>
      </c>
      <c r="F74" s="448">
        <f>SUMIFS(BasisProgramma[156],BasisProgramma[Element],$B74,BasisProgramma[Handeling],$C74)</f>
        <v>52</v>
      </c>
      <c r="G74" s="448">
        <f>SUMIFS(BasisProgramma[104],BasisProgramma[Element],$B74,BasisProgramma[Handeling],$C74)</f>
        <v>12</v>
      </c>
      <c r="H74" s="448">
        <f>SUMIFS(BasisProgramma[52],BasisProgramma[Element],$B74,BasisProgramma[Handeling],$C74)</f>
        <v>12</v>
      </c>
      <c r="I74" s="449">
        <f>SUMIFS(BasisProgramma[4],BasisProgramma[Element],$B74,BasisProgramma[Handeling],$C74)</f>
        <v>4</v>
      </c>
    </row>
    <row r="75" spans="2:9" x14ac:dyDescent="0.2">
      <c r="B75" s="422" t="s">
        <v>447</v>
      </c>
      <c r="C75" s="79" t="s">
        <v>498</v>
      </c>
      <c r="D75" s="447">
        <f>SUMIFS(BasisProgramma[255],BasisProgramma[Element],$B75,BasisProgramma[Handeling],$C75)</f>
        <v>255</v>
      </c>
      <c r="E75" s="448">
        <f>SUMIFS(BasisProgramma[204],BasisProgramma[Element],$B75,BasisProgramma[Handeling],$C75)</f>
        <v>204</v>
      </c>
      <c r="F75" s="448">
        <f>SUMIFS(BasisProgramma[156],BasisProgramma[Element],$B75,BasisProgramma[Handeling],$C75)</f>
        <v>156</v>
      </c>
      <c r="G75" s="448">
        <f>SUMIFS(BasisProgramma[104],BasisProgramma[Element],$B75,BasisProgramma[Handeling],$C75)</f>
        <v>104</v>
      </c>
      <c r="H75" s="448">
        <f>SUMIFS(BasisProgramma[52],BasisProgramma[Element],$B75,BasisProgramma[Handeling],$C75)</f>
        <v>52</v>
      </c>
      <c r="I75" s="449">
        <f>SUMIFS(BasisProgramma[4],BasisProgramma[Element],$B75,BasisProgramma[Handeling],$C75)</f>
        <v>4</v>
      </c>
    </row>
    <row r="76" spans="2:9" x14ac:dyDescent="0.2">
      <c r="B76" s="54" t="s">
        <v>725</v>
      </c>
      <c r="C76" s="79" t="s">
        <v>467</v>
      </c>
      <c r="D76" s="447">
        <f>SUMIFS(BasisProgramma[255],BasisProgramma[Element],$B76,BasisProgramma[Handeling],$C76)</f>
        <v>255</v>
      </c>
      <c r="E76" s="448">
        <f>SUMIFS(BasisProgramma[204],BasisProgramma[Element],$B76,BasisProgramma[Handeling],$C76)</f>
        <v>204</v>
      </c>
      <c r="F76" s="448">
        <f>SUMIFS(BasisProgramma[156],BasisProgramma[Element],$B76,BasisProgramma[Handeling],$C76)</f>
        <v>156</v>
      </c>
      <c r="G76" s="448">
        <f>SUMIFS(BasisProgramma[104],BasisProgramma[Element],$B76,BasisProgramma[Handeling],$C76)</f>
        <v>104</v>
      </c>
      <c r="H76" s="448">
        <f>SUMIFS(BasisProgramma[52],BasisProgramma[Element],$B76,BasisProgramma[Handeling],$C76)</f>
        <v>52</v>
      </c>
      <c r="I76" s="449">
        <f>SUMIFS(BasisProgramma[4],BasisProgramma[Element],$B76,BasisProgramma[Handeling],$C76)</f>
        <v>4</v>
      </c>
    </row>
    <row r="77" spans="2:9" x14ac:dyDescent="0.2">
      <c r="B77" s="54" t="s">
        <v>725</v>
      </c>
      <c r="C77" s="79" t="s">
        <v>452</v>
      </c>
      <c r="D77" s="447">
        <f>SUMIFS(BasisProgramma[255],BasisProgramma[Element],$B77,BasisProgramma[Handeling],$C77)</f>
        <v>255</v>
      </c>
      <c r="E77" s="448">
        <f>SUMIFS(BasisProgramma[204],BasisProgramma[Element],$B77,BasisProgramma[Handeling],$C77)</f>
        <v>204</v>
      </c>
      <c r="F77" s="448">
        <f>SUMIFS(BasisProgramma[156],BasisProgramma[Element],$B77,BasisProgramma[Handeling],$C77)</f>
        <v>156</v>
      </c>
      <c r="G77" s="448">
        <f>SUMIFS(BasisProgramma[104],BasisProgramma[Element],$B77,BasisProgramma[Handeling],$C77)</f>
        <v>104</v>
      </c>
      <c r="H77" s="448">
        <f>SUMIFS(BasisProgramma[52],BasisProgramma[Element],$B77,BasisProgramma[Handeling],$C77)</f>
        <v>52</v>
      </c>
      <c r="I77" s="449">
        <f>SUMIFS(BasisProgramma[4],BasisProgramma[Element],$B77,BasisProgramma[Handeling],$C77)</f>
        <v>4</v>
      </c>
    </row>
    <row r="78" spans="2:9" x14ac:dyDescent="0.2">
      <c r="B78" s="422" t="s">
        <v>480</v>
      </c>
      <c r="C78" s="79" t="s">
        <v>429</v>
      </c>
      <c r="D78" s="447">
        <f>SUMIFS(BasisProgramma[255],BasisProgramma[Element],$B78,BasisProgramma[Handeling],$C78)</f>
        <v>255</v>
      </c>
      <c r="E78" s="448">
        <f>SUMIFS(BasisProgramma[204],BasisProgramma[Element],$B78,BasisProgramma[Handeling],$C78)</f>
        <v>204</v>
      </c>
      <c r="F78" s="448">
        <f>SUMIFS(BasisProgramma[156],BasisProgramma[Element],$B78,BasisProgramma[Handeling],$C78)</f>
        <v>156</v>
      </c>
      <c r="G78" s="448">
        <f>SUMIFS(BasisProgramma[104],BasisProgramma[Element],$B78,BasisProgramma[Handeling],$C78)</f>
        <v>104</v>
      </c>
      <c r="H78" s="448">
        <f>SUMIFS(BasisProgramma[52],BasisProgramma[Element],$B78,BasisProgramma[Handeling],$C78)</f>
        <v>52</v>
      </c>
      <c r="I78" s="449">
        <f>SUMIFS(BasisProgramma[4],BasisProgramma[Element],$B78,BasisProgramma[Handeling],$C78)</f>
        <v>4</v>
      </c>
    </row>
    <row r="79" spans="2:9" x14ac:dyDescent="0.2">
      <c r="B79" s="422" t="s">
        <v>480</v>
      </c>
      <c r="C79" s="79" t="s">
        <v>465</v>
      </c>
      <c r="D79" s="447">
        <f>SUMIFS(BasisProgramma[255],BasisProgramma[Element],$B79,BasisProgramma[Handeling],$C79)</f>
        <v>52</v>
      </c>
      <c r="E79" s="448">
        <f>SUMIFS(BasisProgramma[204],BasisProgramma[Element],$B79,BasisProgramma[Handeling],$C79)</f>
        <v>52</v>
      </c>
      <c r="F79" s="448">
        <f>SUMIFS(BasisProgramma[156],BasisProgramma[Element],$B79,BasisProgramma[Handeling],$C79)</f>
        <v>52</v>
      </c>
      <c r="G79" s="448">
        <f>SUMIFS(BasisProgramma[104],BasisProgramma[Element],$B79,BasisProgramma[Handeling],$C79)</f>
        <v>52</v>
      </c>
      <c r="H79" s="448">
        <f>SUMIFS(BasisProgramma[52],BasisProgramma[Element],$B79,BasisProgramma[Handeling],$C79)</f>
        <v>52</v>
      </c>
      <c r="I79" s="449">
        <f>SUMIFS(BasisProgramma[4],BasisProgramma[Element],$B79,BasisProgramma[Handeling],$C79)</f>
        <v>4</v>
      </c>
    </row>
    <row r="80" spans="2:9" x14ac:dyDescent="0.2">
      <c r="B80" s="54" t="s">
        <v>724</v>
      </c>
      <c r="C80" s="79" t="s">
        <v>467</v>
      </c>
      <c r="D80" s="447">
        <f>SUMIFS(BasisProgramma[255],BasisProgramma[Element],$B80,BasisProgramma[Handeling],$C80)</f>
        <v>255</v>
      </c>
      <c r="E80" s="448">
        <f>SUMIFS(BasisProgramma[204],BasisProgramma[Element],$B80,BasisProgramma[Handeling],$C80)</f>
        <v>204</v>
      </c>
      <c r="F80" s="448">
        <f>SUMIFS(BasisProgramma[156],BasisProgramma[Element],$B80,BasisProgramma[Handeling],$C80)</f>
        <v>156</v>
      </c>
      <c r="G80" s="448">
        <f>SUMIFS(BasisProgramma[104],BasisProgramma[Element],$B80,BasisProgramma[Handeling],$C80)</f>
        <v>104</v>
      </c>
      <c r="H80" s="448">
        <f>SUMIFS(BasisProgramma[52],BasisProgramma[Element],$B80,BasisProgramma[Handeling],$C80)</f>
        <v>52</v>
      </c>
      <c r="I80" s="449">
        <f>SUMIFS(BasisProgramma[4],BasisProgramma[Element],$B80,BasisProgramma[Handeling],$C80)</f>
        <v>4</v>
      </c>
    </row>
    <row r="81" spans="2:9" x14ac:dyDescent="0.2">
      <c r="B81" s="54" t="s">
        <v>724</v>
      </c>
      <c r="C81" s="79" t="s">
        <v>452</v>
      </c>
      <c r="D81" s="447">
        <f>SUMIFS(BasisProgramma[255],BasisProgramma[Element],$B81,BasisProgramma[Handeling],$C81)</f>
        <v>255</v>
      </c>
      <c r="E81" s="448">
        <f>SUMIFS(BasisProgramma[204],BasisProgramma[Element],$B81,BasisProgramma[Handeling],$C81)</f>
        <v>204</v>
      </c>
      <c r="F81" s="448">
        <f>SUMIFS(BasisProgramma[156],BasisProgramma[Element],$B81,BasisProgramma[Handeling],$C81)</f>
        <v>156</v>
      </c>
      <c r="G81" s="448">
        <f>SUMIFS(BasisProgramma[104],BasisProgramma[Element],$B81,BasisProgramma[Handeling],$C81)</f>
        <v>104</v>
      </c>
      <c r="H81" s="448">
        <f>SUMIFS(BasisProgramma[52],BasisProgramma[Element],$B81,BasisProgramma[Handeling],$C81)</f>
        <v>52</v>
      </c>
      <c r="I81" s="449">
        <f>SUMIFS(BasisProgramma[4],BasisProgramma[Element],$B81,BasisProgramma[Handeling],$C81)</f>
        <v>4</v>
      </c>
    </row>
    <row r="82" spans="2:9" x14ac:dyDescent="0.2">
      <c r="B82" s="422" t="s">
        <v>448</v>
      </c>
      <c r="C82" s="79" t="s">
        <v>428</v>
      </c>
      <c r="D82" s="447">
        <f>SUMIFS(BasisProgramma[255],BasisProgramma[Element],$B82,BasisProgramma[Handeling],$C82)</f>
        <v>40</v>
      </c>
      <c r="E82" s="448">
        <f>SUMIFS(BasisProgramma[204],BasisProgramma[Element],$B82,BasisProgramma[Handeling],$C82)</f>
        <v>40</v>
      </c>
      <c r="F82" s="448">
        <f>SUMIFS(BasisProgramma[156],BasisProgramma[Element],$B82,BasisProgramma[Handeling],$C82)</f>
        <v>40</v>
      </c>
      <c r="G82" s="448">
        <f>SUMIFS(BasisProgramma[104],BasisProgramma[Element],$B82,BasisProgramma[Handeling],$C82)</f>
        <v>40</v>
      </c>
      <c r="H82" s="448">
        <f>SUMIFS(BasisProgramma[52],BasisProgramma[Element],$B82,BasisProgramma[Handeling],$C82)</f>
        <v>40</v>
      </c>
      <c r="I82" s="449">
        <f>SUMIFS(BasisProgramma[4],BasisProgramma[Element],$B82,BasisProgramma[Handeling],$C82)</f>
        <v>0</v>
      </c>
    </row>
    <row r="83" spans="2:9" x14ac:dyDescent="0.2">
      <c r="B83" s="422" t="s">
        <v>448</v>
      </c>
      <c r="C83" s="79" t="s">
        <v>452</v>
      </c>
      <c r="D83" s="447">
        <f>SUMIFS(BasisProgramma[255],BasisProgramma[Element],$B83,BasisProgramma[Handeling],$C83)</f>
        <v>12</v>
      </c>
      <c r="E83" s="448">
        <f>SUMIFS(BasisProgramma[204],BasisProgramma[Element],$B83,BasisProgramma[Handeling],$C83)</f>
        <v>12</v>
      </c>
      <c r="F83" s="448">
        <f>SUMIFS(BasisProgramma[156],BasisProgramma[Element],$B83,BasisProgramma[Handeling],$C83)</f>
        <v>12</v>
      </c>
      <c r="G83" s="448">
        <f>SUMIFS(BasisProgramma[104],BasisProgramma[Element],$B83,BasisProgramma[Handeling],$C83)</f>
        <v>12</v>
      </c>
      <c r="H83" s="448">
        <f>SUMIFS(BasisProgramma[52],BasisProgramma[Element],$B83,BasisProgramma[Handeling],$C83)</f>
        <v>12</v>
      </c>
      <c r="I83" s="449">
        <f>SUMIFS(BasisProgramma[4],BasisProgramma[Element],$B83,BasisProgramma[Handeling],$C83)</f>
        <v>4</v>
      </c>
    </row>
    <row r="84" spans="2:9" x14ac:dyDescent="0.2">
      <c r="B84" s="422" t="s">
        <v>481</v>
      </c>
      <c r="C84" s="79" t="s">
        <v>499</v>
      </c>
      <c r="D84" s="447">
        <f>SUMIFS(BasisProgramma[255],BasisProgramma[Element],$B84,BasisProgramma[Handeling],$C84)</f>
        <v>104</v>
      </c>
      <c r="E84" s="448">
        <f>SUMIFS(BasisProgramma[204],BasisProgramma[Element],$B84,BasisProgramma[Handeling],$C84)</f>
        <v>104</v>
      </c>
      <c r="F84" s="448">
        <f>SUMIFS(BasisProgramma[156],BasisProgramma[Element],$B84,BasisProgramma[Handeling],$C84)</f>
        <v>104</v>
      </c>
      <c r="G84" s="448">
        <f>SUMIFS(BasisProgramma[104],BasisProgramma[Element],$B84,BasisProgramma[Handeling],$C84)</f>
        <v>52</v>
      </c>
      <c r="H84" s="448">
        <f>SUMIFS(BasisProgramma[52],BasisProgramma[Element],$B84,BasisProgramma[Handeling],$C84)</f>
        <v>0</v>
      </c>
      <c r="I84" s="449">
        <f>SUMIFS(BasisProgramma[4],BasisProgramma[Element],$B84,BasisProgramma[Handeling],$C84)</f>
        <v>0</v>
      </c>
    </row>
    <row r="85" spans="2:9" x14ac:dyDescent="0.2">
      <c r="B85" s="422" t="s">
        <v>449</v>
      </c>
      <c r="C85" s="79" t="s">
        <v>441</v>
      </c>
      <c r="D85" s="447">
        <f>SUMIFS(BasisProgramma[255],BasisProgramma[Element],$B85,BasisProgramma[Handeling],$C85)</f>
        <v>52</v>
      </c>
      <c r="E85" s="448">
        <f>SUMIFS(BasisProgramma[204],BasisProgramma[Element],$B85,BasisProgramma[Handeling],$C85)</f>
        <v>52</v>
      </c>
      <c r="F85" s="448">
        <f>SUMIFS(BasisProgramma[156],BasisProgramma[Element],$B85,BasisProgramma[Handeling],$C85)</f>
        <v>52</v>
      </c>
      <c r="G85" s="448">
        <f>SUMIFS(BasisProgramma[104],BasisProgramma[Element],$B85,BasisProgramma[Handeling],$C85)</f>
        <v>52</v>
      </c>
      <c r="H85" s="448">
        <f>SUMIFS(BasisProgramma[52],BasisProgramma[Element],$B85,BasisProgramma[Handeling],$C85)</f>
        <v>52</v>
      </c>
      <c r="I85" s="449">
        <f>SUMIFS(BasisProgramma[4],BasisProgramma[Element],$B85,BasisProgramma[Handeling],$C85)</f>
        <v>4</v>
      </c>
    </row>
    <row r="86" spans="2:9" x14ac:dyDescent="0.2">
      <c r="B86" s="422" t="s">
        <v>450</v>
      </c>
      <c r="C86" s="79" t="s">
        <v>428</v>
      </c>
      <c r="D86" s="447">
        <f>SUMIFS(BasisProgramma[255],BasisProgramma[Element],$B86,BasisProgramma[Handeling],$C86)</f>
        <v>40</v>
      </c>
      <c r="E86" s="448">
        <f>SUMIFS(BasisProgramma[204],BasisProgramma[Element],$B86,BasisProgramma[Handeling],$C86)</f>
        <v>40</v>
      </c>
      <c r="F86" s="448">
        <f>SUMIFS(BasisProgramma[156],BasisProgramma[Element],$B86,BasisProgramma[Handeling],$C86)</f>
        <v>40</v>
      </c>
      <c r="G86" s="448">
        <f>SUMIFS(BasisProgramma[104],BasisProgramma[Element],$B86,BasisProgramma[Handeling],$C86)</f>
        <v>40</v>
      </c>
      <c r="H86" s="448">
        <f>SUMIFS(BasisProgramma[52],BasisProgramma[Element],$B86,BasisProgramma[Handeling],$C86)</f>
        <v>40</v>
      </c>
      <c r="I86" s="449">
        <f>SUMIFS(BasisProgramma[4],BasisProgramma[Element],$B86,BasisProgramma[Handeling],$C86)</f>
        <v>0</v>
      </c>
    </row>
    <row r="87" spans="2:9" x14ac:dyDescent="0.2">
      <c r="B87" s="422" t="s">
        <v>450</v>
      </c>
      <c r="C87" s="79" t="s">
        <v>429</v>
      </c>
      <c r="D87" s="447">
        <f>SUMIFS(BasisProgramma[255],BasisProgramma[Element],$B87,BasisProgramma[Handeling],$C87)</f>
        <v>12</v>
      </c>
      <c r="E87" s="448">
        <f>SUMIFS(BasisProgramma[204],BasisProgramma[Element],$B87,BasisProgramma[Handeling],$C87)</f>
        <v>12</v>
      </c>
      <c r="F87" s="448">
        <f>SUMIFS(BasisProgramma[156],BasisProgramma[Element],$B87,BasisProgramma[Handeling],$C87)</f>
        <v>12</v>
      </c>
      <c r="G87" s="448">
        <f>SUMIFS(BasisProgramma[104],BasisProgramma[Element],$B87,BasisProgramma[Handeling],$C87)</f>
        <v>12</v>
      </c>
      <c r="H87" s="448">
        <f>SUMIFS(BasisProgramma[52],BasisProgramma[Element],$B87,BasisProgramma[Handeling],$C87)</f>
        <v>12</v>
      </c>
      <c r="I87" s="449">
        <f>SUMIFS(BasisProgramma[4],BasisProgramma[Element],$B87,BasisProgramma[Handeling],$C87)</f>
        <v>4</v>
      </c>
    </row>
    <row r="88" spans="2:9" x14ac:dyDescent="0.2">
      <c r="B88" s="422" t="s">
        <v>744</v>
      </c>
      <c r="C88" s="78" t="s">
        <v>742</v>
      </c>
      <c r="D88" s="447">
        <f>SUMIFS(BasisProgramma[255],BasisProgramma[Element],$B88,BasisProgramma[Handeling],$C88)</f>
        <v>255</v>
      </c>
      <c r="E88" s="448">
        <f>SUMIFS(BasisProgramma[204],BasisProgramma[Element],$B88,BasisProgramma[Handeling],$C88)</f>
        <v>204</v>
      </c>
      <c r="F88" s="448">
        <f>SUMIFS(BasisProgramma[156],BasisProgramma[Element],$B88,BasisProgramma[Handeling],$C88)</f>
        <v>156</v>
      </c>
      <c r="G88" s="448">
        <f>SUMIFS(BasisProgramma[104],BasisProgramma[Element],$B88,BasisProgramma[Handeling],$C88)</f>
        <v>104</v>
      </c>
      <c r="H88" s="448">
        <f>SUMIFS(BasisProgramma[52],BasisProgramma[Element],$B88,BasisProgramma[Handeling],$C88)</f>
        <v>52</v>
      </c>
      <c r="I88" s="449">
        <f>SUMIFS(BasisProgramma[4],BasisProgramma[Element],$B88,BasisProgramma[Handeling],$C88)</f>
        <v>4</v>
      </c>
    </row>
    <row r="89" spans="2:9" x14ac:dyDescent="0.2">
      <c r="B89" s="422" t="s">
        <v>744</v>
      </c>
      <c r="C89" s="78" t="s">
        <v>483</v>
      </c>
      <c r="D89" s="447">
        <f>SUMIFS(BasisProgramma[255],BasisProgramma[Element],$B89,BasisProgramma[Handeling],$C89)</f>
        <v>52</v>
      </c>
      <c r="E89" s="448">
        <f>SUMIFS(BasisProgramma[204],BasisProgramma[Element],$B89,BasisProgramma[Handeling],$C89)</f>
        <v>52</v>
      </c>
      <c r="F89" s="448">
        <f>SUMIFS(BasisProgramma[156],BasisProgramma[Element],$B89,BasisProgramma[Handeling],$C89)</f>
        <v>52</v>
      </c>
      <c r="G89" s="448">
        <f>SUMIFS(BasisProgramma[104],BasisProgramma[Element],$B89,BasisProgramma[Handeling],$C89)</f>
        <v>52</v>
      </c>
      <c r="H89" s="448">
        <f>SUMIFS(BasisProgramma[52],BasisProgramma[Element],$B89,BasisProgramma[Handeling],$C89)</f>
        <v>52</v>
      </c>
      <c r="I89" s="449">
        <f>SUMIFS(BasisProgramma[4],BasisProgramma[Element],$B89,BasisProgramma[Handeling],$C89)</f>
        <v>4</v>
      </c>
    </row>
    <row r="90" spans="2:9" x14ac:dyDescent="0.2">
      <c r="B90" s="422" t="s">
        <v>744</v>
      </c>
      <c r="C90" s="78" t="s">
        <v>741</v>
      </c>
      <c r="D90" s="447">
        <f>SUMIFS(BasisProgramma[255],BasisProgramma[Element],$B90,BasisProgramma[Handeling],$C90)</f>
        <v>4</v>
      </c>
      <c r="E90" s="448">
        <f>SUMIFS(BasisProgramma[204],BasisProgramma[Element],$B90,BasisProgramma[Handeling],$C90)</f>
        <v>4</v>
      </c>
      <c r="F90" s="448">
        <f>SUMIFS(BasisProgramma[156],BasisProgramma[Element],$B90,BasisProgramma[Handeling],$C90)</f>
        <v>4</v>
      </c>
      <c r="G90" s="448">
        <f>SUMIFS(BasisProgramma[104],BasisProgramma[Element],$B90,BasisProgramma[Handeling],$C90)</f>
        <v>4</v>
      </c>
      <c r="H90" s="448">
        <f>SUMIFS(BasisProgramma[52],BasisProgramma[Element],$B90,BasisProgramma[Handeling],$C90)</f>
        <v>4</v>
      </c>
      <c r="I90" s="449">
        <f>SUMIFS(BasisProgramma[4],BasisProgramma[Element],$B90,BasisProgramma[Handeling],$C90)</f>
        <v>4</v>
      </c>
    </row>
    <row r="91" spans="2:9" x14ac:dyDescent="0.2">
      <c r="B91" s="422" t="s">
        <v>746</v>
      </c>
      <c r="C91" s="79" t="s">
        <v>743</v>
      </c>
      <c r="D91" s="447">
        <f>SUMIFS(BasisProgramma[255],BasisProgramma[Element],$B91,BasisProgramma[Handeling],$C91)</f>
        <v>255</v>
      </c>
      <c r="E91" s="448">
        <f>SUMIFS(BasisProgramma[204],BasisProgramma[Element],$B91,BasisProgramma[Handeling],$C91)</f>
        <v>204</v>
      </c>
      <c r="F91" s="448">
        <f>SUMIFS(BasisProgramma[156],BasisProgramma[Element],$B91,BasisProgramma[Handeling],$C91)</f>
        <v>156</v>
      </c>
      <c r="G91" s="448">
        <f>SUMIFS(BasisProgramma[104],BasisProgramma[Element],$B91,BasisProgramma[Handeling],$C91)</f>
        <v>104</v>
      </c>
      <c r="H91" s="448">
        <f>SUMIFS(BasisProgramma[52],BasisProgramma[Element],$B91,BasisProgramma[Handeling],$C91)</f>
        <v>52</v>
      </c>
      <c r="I91" s="449">
        <f>SUMIFS(BasisProgramma[4],BasisProgramma[Element],$B91,BasisProgramma[Handeling],$C91)</f>
        <v>4</v>
      </c>
    </row>
    <row r="92" spans="2:9" x14ac:dyDescent="0.2">
      <c r="B92" s="422" t="s">
        <v>746</v>
      </c>
      <c r="C92" s="79" t="s">
        <v>483</v>
      </c>
      <c r="D92" s="447">
        <f>SUMIFS(BasisProgramma[255],BasisProgramma[Element],$B92,BasisProgramma[Handeling],$C92)</f>
        <v>52</v>
      </c>
      <c r="E92" s="448">
        <f>SUMIFS(BasisProgramma[204],BasisProgramma[Element],$B92,BasisProgramma[Handeling],$C92)</f>
        <v>52</v>
      </c>
      <c r="F92" s="448">
        <f>SUMIFS(BasisProgramma[156],BasisProgramma[Element],$B92,BasisProgramma[Handeling],$C92)</f>
        <v>52</v>
      </c>
      <c r="G92" s="448">
        <f>SUMIFS(BasisProgramma[104],BasisProgramma[Element],$B92,BasisProgramma[Handeling],$C92)</f>
        <v>52</v>
      </c>
      <c r="H92" s="448">
        <f>SUMIFS(BasisProgramma[52],BasisProgramma[Element],$B92,BasisProgramma[Handeling],$C92)</f>
        <v>52</v>
      </c>
      <c r="I92" s="449">
        <f>SUMIFS(BasisProgramma[4],BasisProgramma[Element],$B92,BasisProgramma[Handeling],$C92)</f>
        <v>4</v>
      </c>
    </row>
    <row r="93" spans="2:9" x14ac:dyDescent="0.2">
      <c r="B93" s="422" t="s">
        <v>747</v>
      </c>
      <c r="C93" s="79" t="s">
        <v>748</v>
      </c>
      <c r="D93" s="447">
        <f>SUMIFS(BasisProgramma[255],BasisProgramma[Element],$B93,BasisProgramma[Handeling],$C93)</f>
        <v>2</v>
      </c>
      <c r="E93" s="448">
        <f>SUMIFS(BasisProgramma[204],BasisProgramma[Element],$B93,BasisProgramma[Handeling],$C93)</f>
        <v>2</v>
      </c>
      <c r="F93" s="448">
        <f>SUMIFS(BasisProgramma[156],BasisProgramma[Element],$B93,BasisProgramma[Handeling],$C93)</f>
        <v>2</v>
      </c>
      <c r="G93" s="448">
        <f>SUMIFS(BasisProgramma[104],BasisProgramma[Element],$B93,BasisProgramma[Handeling],$C93)</f>
        <v>2</v>
      </c>
      <c r="H93" s="448">
        <f>SUMIFS(BasisProgramma[52],BasisProgramma[Element],$B93,BasisProgramma[Handeling],$C93)</f>
        <v>2</v>
      </c>
      <c r="I93" s="449">
        <f>SUMIFS(BasisProgramma[4],BasisProgramma[Element],$B93,BasisProgramma[Handeling],$C93)</f>
        <v>2</v>
      </c>
    </row>
    <row r="94" spans="2:9" x14ac:dyDescent="0.2">
      <c r="B94" s="422" t="s">
        <v>745</v>
      </c>
      <c r="C94" s="79" t="s">
        <v>482</v>
      </c>
      <c r="D94" s="447">
        <f>SUMIFS(BasisProgramma[255],BasisProgramma[Element],$B94,BasisProgramma[Handeling],$C94)</f>
        <v>255</v>
      </c>
      <c r="E94" s="448">
        <f>SUMIFS(BasisProgramma[204],BasisProgramma[Element],$B94,BasisProgramma[Handeling],$C94)</f>
        <v>204</v>
      </c>
      <c r="F94" s="448">
        <f>SUMIFS(BasisProgramma[156],BasisProgramma[Element],$B94,BasisProgramma[Handeling],$C94)</f>
        <v>156</v>
      </c>
      <c r="G94" s="448">
        <f>SUMIFS(BasisProgramma[104],BasisProgramma[Element],$B94,BasisProgramma[Handeling],$C94)</f>
        <v>104</v>
      </c>
      <c r="H94" s="448">
        <f>SUMIFS(BasisProgramma[52],BasisProgramma[Element],$B94,BasisProgramma[Handeling],$C94)</f>
        <v>52</v>
      </c>
      <c r="I94" s="449">
        <f>SUMIFS(BasisProgramma[4],BasisProgramma[Element],$B94,BasisProgramma[Handeling],$C94)</f>
        <v>4</v>
      </c>
    </row>
    <row r="95" spans="2:9" x14ac:dyDescent="0.2">
      <c r="B95" s="422" t="s">
        <v>745</v>
      </c>
      <c r="C95" s="79" t="s">
        <v>483</v>
      </c>
      <c r="D95" s="447">
        <f>SUMIFS(BasisProgramma[255],BasisProgramma[Element],$B95,BasisProgramma[Handeling],$C95)</f>
        <v>255</v>
      </c>
      <c r="E95" s="448">
        <f>SUMIFS(BasisProgramma[204],BasisProgramma[Element],$B95,BasisProgramma[Handeling],$C95)</f>
        <v>204</v>
      </c>
      <c r="F95" s="448">
        <f>SUMIFS(BasisProgramma[156],BasisProgramma[Element],$B95,BasisProgramma[Handeling],$C95)</f>
        <v>156</v>
      </c>
      <c r="G95" s="448">
        <f>SUMIFS(BasisProgramma[104],BasisProgramma[Element],$B95,BasisProgramma[Handeling],$C95)</f>
        <v>104</v>
      </c>
      <c r="H95" s="448">
        <f>SUMIFS(BasisProgramma[52],BasisProgramma[Element],$B95,BasisProgramma[Handeling],$C95)</f>
        <v>52</v>
      </c>
      <c r="I95" s="449">
        <f>SUMIFS(BasisProgramma[4],BasisProgramma[Element],$B95,BasisProgramma[Handeling],$C95)</f>
        <v>0</v>
      </c>
    </row>
    <row r="96" spans="2:9" x14ac:dyDescent="0.2">
      <c r="B96" s="422" t="s">
        <v>745</v>
      </c>
      <c r="C96" s="79" t="s">
        <v>484</v>
      </c>
      <c r="D96" s="447">
        <f>SUMIFS(BasisProgramma[255],BasisProgramma[Element],$B96,BasisProgramma[Handeling],$C96)</f>
        <v>52</v>
      </c>
      <c r="E96" s="448">
        <f>SUMIFS(BasisProgramma[204],BasisProgramma[Element],$B96,BasisProgramma[Handeling],$C96)</f>
        <v>52</v>
      </c>
      <c r="F96" s="448">
        <f>SUMIFS(BasisProgramma[156],BasisProgramma[Element],$B96,BasisProgramma[Handeling],$C96)</f>
        <v>52</v>
      </c>
      <c r="G96" s="448">
        <f>SUMIFS(BasisProgramma[104],BasisProgramma[Element],$B96,BasisProgramma[Handeling],$C96)</f>
        <v>52</v>
      </c>
      <c r="H96" s="448">
        <f>SUMIFS(BasisProgramma[52],BasisProgramma[Element],$B96,BasisProgramma[Handeling],$C96)</f>
        <v>52</v>
      </c>
      <c r="I96" s="449">
        <f>SUMIFS(BasisProgramma[4],BasisProgramma[Element],$B96,BasisProgramma[Handeling],$C96)</f>
        <v>4</v>
      </c>
    </row>
    <row r="97" spans="2:9" x14ac:dyDescent="0.2">
      <c r="B97" s="422" t="s">
        <v>686</v>
      </c>
      <c r="C97" s="79" t="s">
        <v>749</v>
      </c>
      <c r="D97" s="447">
        <f>SUMIFS(BasisProgramma[255],BasisProgramma[Element],$B97,BasisProgramma[Handeling],$C97)</f>
        <v>203</v>
      </c>
      <c r="E97" s="448">
        <f>SUMIFS(BasisProgramma[204],BasisProgramma[Element],$B97,BasisProgramma[Handeling],$C97)</f>
        <v>152</v>
      </c>
      <c r="F97" s="448">
        <f>SUMIFS(BasisProgramma[156],BasisProgramma[Element],$B97,BasisProgramma[Handeling],$C97)</f>
        <v>104</v>
      </c>
      <c r="G97" s="448">
        <f>SUMIFS(BasisProgramma[104],BasisProgramma[Element],$B97,BasisProgramma[Handeling],$C97)</f>
        <v>52</v>
      </c>
      <c r="H97" s="448">
        <f>SUMIFS(BasisProgramma[52],BasisProgramma[Element],$B97,BasisProgramma[Handeling],$C97)</f>
        <v>0</v>
      </c>
      <c r="I97" s="449">
        <f>SUMIFS(BasisProgramma[4],BasisProgramma[Element],$B97,BasisProgramma[Handeling],$C97)</f>
        <v>0</v>
      </c>
    </row>
    <row r="98" spans="2:9" x14ac:dyDescent="0.2">
      <c r="B98" s="422" t="s">
        <v>686</v>
      </c>
      <c r="C98" s="79" t="s">
        <v>472</v>
      </c>
      <c r="D98" s="447">
        <f>SUMIFS(BasisProgramma[255],BasisProgramma[Element],$B98,BasisProgramma[Handeling],$C98)</f>
        <v>255</v>
      </c>
      <c r="E98" s="448">
        <f>SUMIFS(BasisProgramma[204],BasisProgramma[Element],$B98,BasisProgramma[Handeling],$C98)</f>
        <v>204</v>
      </c>
      <c r="F98" s="448">
        <f>SUMIFS(BasisProgramma[156],BasisProgramma[Element],$B98,BasisProgramma[Handeling],$C98)</f>
        <v>156</v>
      </c>
      <c r="G98" s="448">
        <f>SUMIFS(BasisProgramma[104],BasisProgramma[Element],$B98,BasisProgramma[Handeling],$C98)</f>
        <v>104</v>
      </c>
      <c r="H98" s="448">
        <f>SUMIFS(BasisProgramma[52],BasisProgramma[Element],$B98,BasisProgramma[Handeling],$C98)</f>
        <v>52</v>
      </c>
      <c r="I98" s="449">
        <f>SUMIFS(BasisProgramma[4],BasisProgramma[Element],$B98,BasisProgramma[Handeling],$C98)</f>
        <v>4</v>
      </c>
    </row>
    <row r="99" spans="2:9" x14ac:dyDescent="0.2">
      <c r="B99" s="422" t="s">
        <v>686</v>
      </c>
      <c r="C99" s="79" t="s">
        <v>750</v>
      </c>
      <c r="D99" s="447">
        <f>SUMIFS(BasisProgramma[255],BasisProgramma[Element],$B99,BasisProgramma[Handeling],$C99)</f>
        <v>52</v>
      </c>
      <c r="E99" s="448">
        <f>SUMIFS(BasisProgramma[204],BasisProgramma[Element],$B99,BasisProgramma[Handeling],$C99)</f>
        <v>52</v>
      </c>
      <c r="F99" s="448">
        <f>SUMIFS(BasisProgramma[156],BasisProgramma[Element],$B99,BasisProgramma[Handeling],$C99)</f>
        <v>52</v>
      </c>
      <c r="G99" s="448">
        <f>SUMIFS(BasisProgramma[104],BasisProgramma[Element],$B99,BasisProgramma[Handeling],$C99)</f>
        <v>52</v>
      </c>
      <c r="H99" s="448">
        <f>SUMIFS(BasisProgramma[52],BasisProgramma[Element],$B99,BasisProgramma[Handeling],$C99)</f>
        <v>52</v>
      </c>
      <c r="I99" s="449">
        <f>SUMIFS(BasisProgramma[4],BasisProgramma[Element],$B99,BasisProgramma[Handeling],$C99)</f>
        <v>4</v>
      </c>
    </row>
    <row r="100" spans="2:9" x14ac:dyDescent="0.2">
      <c r="B100" s="422" t="s">
        <v>468</v>
      </c>
      <c r="C100" s="79" t="s">
        <v>460</v>
      </c>
      <c r="D100" s="447">
        <f>SUMIFS(BasisProgramma[255],BasisProgramma[Element],$B100,BasisProgramma[Handeling],$C100)</f>
        <v>243</v>
      </c>
      <c r="E100" s="448">
        <f>SUMIFS(BasisProgramma[204],BasisProgramma[Element],$B100,BasisProgramma[Handeling],$C100)</f>
        <v>192</v>
      </c>
      <c r="F100" s="448">
        <f>SUMIFS(BasisProgramma[156],BasisProgramma[Element],$B100,BasisProgramma[Handeling],$C100)</f>
        <v>144</v>
      </c>
      <c r="G100" s="448">
        <f>SUMIFS(BasisProgramma[104],BasisProgramma[Element],$B100,BasisProgramma[Handeling],$C100)</f>
        <v>92</v>
      </c>
      <c r="H100" s="448">
        <f>SUMIFS(BasisProgramma[52],BasisProgramma[Element],$B100,BasisProgramma[Handeling],$C100)</f>
        <v>46</v>
      </c>
      <c r="I100" s="449">
        <f>SUMIFS(BasisProgramma[4],BasisProgramma[Element],$B100,BasisProgramma[Handeling],$C100)</f>
        <v>0</v>
      </c>
    </row>
    <row r="101" spans="2:9" x14ac:dyDescent="0.2">
      <c r="B101" s="422" t="s">
        <v>468</v>
      </c>
      <c r="C101" s="79" t="s">
        <v>461</v>
      </c>
      <c r="D101" s="447">
        <f>SUMIFS(BasisProgramma[255],BasisProgramma[Element],$B101,BasisProgramma[Handeling],$C101)</f>
        <v>12</v>
      </c>
      <c r="E101" s="448">
        <f>SUMIFS(BasisProgramma[204],BasisProgramma[Element],$B101,BasisProgramma[Handeling],$C101)</f>
        <v>12</v>
      </c>
      <c r="F101" s="448">
        <f>SUMIFS(BasisProgramma[156],BasisProgramma[Element],$B101,BasisProgramma[Handeling],$C101)</f>
        <v>12</v>
      </c>
      <c r="G101" s="448">
        <f>SUMIFS(BasisProgramma[104],BasisProgramma[Element],$B101,BasisProgramma[Handeling],$C101)</f>
        <v>12</v>
      </c>
      <c r="H101" s="448">
        <f>SUMIFS(BasisProgramma[52],BasisProgramma[Element],$B101,BasisProgramma[Handeling],$C101)</f>
        <v>6</v>
      </c>
      <c r="I101" s="449">
        <f>SUMIFS(BasisProgramma[4],BasisProgramma[Element],$B101,BasisProgramma[Handeling],$C101)</f>
        <v>4</v>
      </c>
    </row>
    <row r="102" spans="2:9" x14ac:dyDescent="0.2">
      <c r="B102" s="422" t="s">
        <v>459</v>
      </c>
      <c r="C102" s="79" t="s">
        <v>460</v>
      </c>
      <c r="D102" s="447">
        <f>SUMIFS(BasisProgramma[255],BasisProgramma[Element],$B102,BasisProgramma[Handeling],$C102)</f>
        <v>243</v>
      </c>
      <c r="E102" s="448">
        <f>SUMIFS(BasisProgramma[204],BasisProgramma[Element],$B102,BasisProgramma[Handeling],$C102)</f>
        <v>192</v>
      </c>
      <c r="F102" s="448">
        <f>SUMIFS(BasisProgramma[156],BasisProgramma[Element],$B102,BasisProgramma[Handeling],$C102)</f>
        <v>144</v>
      </c>
      <c r="G102" s="448">
        <f>SUMIFS(BasisProgramma[104],BasisProgramma[Element],$B102,BasisProgramma[Handeling],$C102)</f>
        <v>92</v>
      </c>
      <c r="H102" s="448">
        <f>SUMIFS(BasisProgramma[52],BasisProgramma[Element],$B102,BasisProgramma[Handeling],$C102)</f>
        <v>46</v>
      </c>
      <c r="I102" s="449">
        <f>SUMIFS(BasisProgramma[4],BasisProgramma[Element],$B102,BasisProgramma[Handeling],$C102)</f>
        <v>0</v>
      </c>
    </row>
    <row r="103" spans="2:9" x14ac:dyDescent="0.2">
      <c r="B103" s="422" t="s">
        <v>459</v>
      </c>
      <c r="C103" s="79" t="s">
        <v>452</v>
      </c>
      <c r="D103" s="447">
        <f>SUMIFS(BasisProgramma[255],BasisProgramma[Element],$B103,BasisProgramma[Handeling],$C103)</f>
        <v>12</v>
      </c>
      <c r="E103" s="448">
        <f>SUMIFS(BasisProgramma[204],BasisProgramma[Element],$B103,BasisProgramma[Handeling],$C103)</f>
        <v>12</v>
      </c>
      <c r="F103" s="448">
        <f>SUMIFS(BasisProgramma[156],BasisProgramma[Element],$B103,BasisProgramma[Handeling],$C103)</f>
        <v>12</v>
      </c>
      <c r="G103" s="448">
        <f>SUMIFS(BasisProgramma[104],BasisProgramma[Element],$B103,BasisProgramma[Handeling],$C103)</f>
        <v>12</v>
      </c>
      <c r="H103" s="448">
        <f>SUMIFS(BasisProgramma[52],BasisProgramma[Element],$B103,BasisProgramma[Handeling],$C103)</f>
        <v>6</v>
      </c>
      <c r="I103" s="449">
        <f>SUMIFS(BasisProgramma[4],BasisProgramma[Element],$B103,BasisProgramma[Handeling],$C103)</f>
        <v>4</v>
      </c>
    </row>
    <row r="104" spans="2:9" x14ac:dyDescent="0.2">
      <c r="B104" s="422" t="s">
        <v>729</v>
      </c>
      <c r="C104" s="79" t="s">
        <v>441</v>
      </c>
      <c r="D104" s="447">
        <f>SUMIFS(BasisProgramma[255],BasisProgramma[Element],$B104,BasisProgramma[Handeling],$C104)</f>
        <v>255</v>
      </c>
      <c r="E104" s="448">
        <f>SUMIFS(BasisProgramma[204],BasisProgramma[Element],$B104,BasisProgramma[Handeling],$C104)</f>
        <v>204</v>
      </c>
      <c r="F104" s="448">
        <f>SUMIFS(BasisProgramma[156],BasisProgramma[Element],$B104,BasisProgramma[Handeling],$C104)</f>
        <v>156</v>
      </c>
      <c r="G104" s="448">
        <f>SUMIFS(BasisProgramma[104],BasisProgramma[Element],$B104,BasisProgramma[Handeling],$C104)</f>
        <v>104</v>
      </c>
      <c r="H104" s="448">
        <f>SUMIFS(BasisProgramma[52],BasisProgramma[Element],$B104,BasisProgramma[Handeling],$C104)</f>
        <v>52</v>
      </c>
      <c r="I104" s="449">
        <f>SUMIFS(BasisProgramma[4],BasisProgramma[Element],$B104,BasisProgramma[Handeling],$C104)</f>
        <v>4</v>
      </c>
    </row>
    <row r="105" spans="2:9" x14ac:dyDescent="0.2">
      <c r="B105" s="422" t="s">
        <v>729</v>
      </c>
      <c r="C105" s="79" t="s">
        <v>465</v>
      </c>
      <c r="D105" s="447">
        <f>SUMIFS(BasisProgramma[255],BasisProgramma[Element],$B105,BasisProgramma[Handeling],$C105)</f>
        <v>12</v>
      </c>
      <c r="E105" s="448">
        <f>SUMIFS(BasisProgramma[204],BasisProgramma[Element],$B105,BasisProgramma[Handeling],$C105)</f>
        <v>12</v>
      </c>
      <c r="F105" s="448">
        <f>SUMIFS(BasisProgramma[156],BasisProgramma[Element],$B105,BasisProgramma[Handeling],$C105)</f>
        <v>12</v>
      </c>
      <c r="G105" s="448">
        <f>SUMIFS(BasisProgramma[104],BasisProgramma[Element],$B105,BasisProgramma[Handeling],$C105)</f>
        <v>12</v>
      </c>
      <c r="H105" s="448">
        <f>SUMIFS(BasisProgramma[52],BasisProgramma[Element],$B105,BasisProgramma[Handeling],$C105)</f>
        <v>6</v>
      </c>
      <c r="I105" s="449">
        <f>SUMIFS(BasisProgramma[4],BasisProgramma[Element],$B105,BasisProgramma[Handeling],$C105)</f>
        <v>4</v>
      </c>
    </row>
    <row r="106" spans="2:9" x14ac:dyDescent="0.2">
      <c r="B106" s="54" t="s">
        <v>723</v>
      </c>
      <c r="C106" s="79" t="s">
        <v>467</v>
      </c>
      <c r="D106" s="447">
        <f>SUMIFS(BasisProgramma[255],BasisProgramma[Element],$B106,BasisProgramma[Handeling],$C106)</f>
        <v>255</v>
      </c>
      <c r="E106" s="448">
        <f>SUMIFS(BasisProgramma[204],BasisProgramma[Element],$B106,BasisProgramma[Handeling],$C106)</f>
        <v>204</v>
      </c>
      <c r="F106" s="448">
        <f>SUMIFS(BasisProgramma[156],BasisProgramma[Element],$B106,BasisProgramma[Handeling],$C106)</f>
        <v>156</v>
      </c>
      <c r="G106" s="448">
        <f>SUMIFS(BasisProgramma[104],BasisProgramma[Element],$B106,BasisProgramma[Handeling],$C106)</f>
        <v>104</v>
      </c>
      <c r="H106" s="448">
        <f>SUMIFS(BasisProgramma[52],BasisProgramma[Element],$B106,BasisProgramma[Handeling],$C106)</f>
        <v>52</v>
      </c>
      <c r="I106" s="449">
        <f>SUMIFS(BasisProgramma[4],BasisProgramma[Element],$B106,BasisProgramma[Handeling],$C106)</f>
        <v>4</v>
      </c>
    </row>
    <row r="107" spans="2:9" ht="12.75" thickBot="1" x14ac:dyDescent="0.25">
      <c r="B107" s="423" t="s">
        <v>723</v>
      </c>
      <c r="C107" s="424" t="s">
        <v>452</v>
      </c>
      <c r="D107" s="456">
        <f>SUMIFS(BasisProgramma[255],BasisProgramma[Element],$B107,BasisProgramma[Handeling],$C107)</f>
        <v>255</v>
      </c>
      <c r="E107" s="457">
        <f>SUMIFS(BasisProgramma[204],BasisProgramma[Element],$B107,BasisProgramma[Handeling],$C107)</f>
        <v>204</v>
      </c>
      <c r="F107" s="457">
        <f>SUMIFS(BasisProgramma[156],BasisProgramma[Element],$B107,BasisProgramma[Handeling],$C107)</f>
        <v>156</v>
      </c>
      <c r="G107" s="457">
        <f>SUMIFS(BasisProgramma[104],BasisProgramma[Element],$B107,BasisProgramma[Handeling],$C107)</f>
        <v>104</v>
      </c>
      <c r="H107" s="457">
        <f>SUMIFS(BasisProgramma[52],BasisProgramma[Element],$B107,BasisProgramma[Handeling],$C107)</f>
        <v>52</v>
      </c>
      <c r="I107" s="458">
        <f>SUMIFS(BasisProgramma[4],BasisProgramma[Element],$B107,BasisProgramma[Handeling],$C107)</f>
        <v>4</v>
      </c>
    </row>
  </sheetData>
  <pageMargins left="0.70866141732283472" right="0.70866141732283472" top="0.74803149606299213" bottom="0.74803149606299213" header="0.31496062992125984" footer="0.31496062992125984"/>
  <pageSetup paperSize="9" scale="99" fitToHeight="0" orientation="landscape" horizontalDpi="0" verticalDpi="0" r:id="rId1"/>
  <headerFooter>
    <oddHeader>&amp;L&amp;9&amp;K04-049Inventarisatiestaat&amp;R&amp;G</oddHeader>
    <oddFooter>&amp;L&amp;9&amp;K04-049Offerteaanvraag EU Openbare aanbesteding Schoonmaakonderhoud&amp;C&amp;9&amp;K04-049 8 april 2022&amp;R&amp;9&amp;K04-049Blad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491A-68A6-406F-A6EF-37AFF27C84EC}">
  <sheetPr codeName="Blad2">
    <pageSetUpPr fitToPage="1"/>
  </sheetPr>
  <dimension ref="A1:K554"/>
  <sheetViews>
    <sheetView showGridLines="0" showRowColHeaders="0" zoomScaleNormal="100" workbookViewId="0">
      <selection activeCell="I56" sqref="I56"/>
    </sheetView>
  </sheetViews>
  <sheetFormatPr defaultColWidth="8.85546875" defaultRowHeight="12" x14ac:dyDescent="0.2"/>
  <cols>
    <col min="1" max="1" width="13.140625" style="9" customWidth="1"/>
    <col min="2" max="2" width="17" style="9" customWidth="1"/>
    <col min="3" max="3" width="16.140625" style="9" customWidth="1"/>
    <col min="4" max="4" width="15.42578125" style="9" customWidth="1"/>
    <col min="5" max="5" width="30.5703125" style="9" customWidth="1"/>
    <col min="6" max="6" width="12.85546875" style="9" customWidth="1"/>
    <col min="7" max="7" width="12.7109375" style="9" customWidth="1"/>
    <col min="8" max="11" width="11.28515625" style="9" customWidth="1"/>
    <col min="12" max="16384" width="8.85546875" style="9"/>
  </cols>
  <sheetData>
    <row r="1" spans="1:11" x14ac:dyDescent="0.2">
      <c r="A1" s="484" t="s">
        <v>0</v>
      </c>
      <c r="B1" s="485" t="s">
        <v>536</v>
      </c>
      <c r="C1" s="485" t="s">
        <v>535</v>
      </c>
      <c r="D1" s="486" t="s">
        <v>1</v>
      </c>
      <c r="E1" s="487" t="s">
        <v>533</v>
      </c>
      <c r="F1" s="485" t="s">
        <v>534</v>
      </c>
      <c r="G1" s="488" t="s">
        <v>300</v>
      </c>
      <c r="H1" s="489" t="s">
        <v>542</v>
      </c>
      <c r="I1" s="490" t="s">
        <v>543</v>
      </c>
      <c r="J1" s="490" t="s">
        <v>544</v>
      </c>
      <c r="K1" s="490" t="s">
        <v>545</v>
      </c>
    </row>
    <row r="2" spans="1:11" x14ac:dyDescent="0.2">
      <c r="A2" s="491" t="s">
        <v>3</v>
      </c>
      <c r="B2" s="492" t="s">
        <v>302</v>
      </c>
      <c r="C2" s="493" t="s">
        <v>4</v>
      </c>
      <c r="D2" s="491" t="s">
        <v>310</v>
      </c>
      <c r="E2" s="493" t="s">
        <v>5</v>
      </c>
      <c r="F2" s="493" t="s">
        <v>6</v>
      </c>
      <c r="G2" s="494">
        <v>23.4</v>
      </c>
      <c r="H2" s="495" cm="1">
        <f t="array" aca="1" ref="H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 s="496" t="str">
        <f ca="1">IF(Inventarisatie[[#This Row],[Freq. Ma-Vr]]=0,0,IF(ISNUMBER(SEARCH("/",_xlfn.XLOOKUP(Inventarisatie[[#This Row],[Locatie]],Tabel2[Locatiecode],Tabel2[Basisfrequentie],0,0))),VLOOKUP("za",WkDagen[],YEAR(NOW())-2020,FALSE),""))</f>
        <v/>
      </c>
      <c r="J2" s="496"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 s="496" t="str">
        <f ca="1">IF(Inventarisatie[[#This Row],[Freq. Ma-Vr]]=0,0,IF(_xlfn.XLOOKUP(Inventarisatie[[#This Row],[Locatie]],Tabel2[Locatiecode],Tabel2[Basisfrequentie],0,0)=Locatieoverzicht!$F$47,VLOOKUP("fe",WkDagen[],YEAR(NOW())-2020,FALSE),""))</f>
        <v/>
      </c>
    </row>
    <row r="3" spans="1:11" x14ac:dyDescent="0.2">
      <c r="A3" s="493" t="s">
        <v>3</v>
      </c>
      <c r="B3" s="492" t="s">
        <v>302</v>
      </c>
      <c r="C3" s="493" t="s">
        <v>7</v>
      </c>
      <c r="D3" s="491" t="s">
        <v>310</v>
      </c>
      <c r="E3" s="493" t="s">
        <v>5</v>
      </c>
      <c r="F3" s="497" t="s">
        <v>6</v>
      </c>
      <c r="G3" s="494">
        <v>23.9</v>
      </c>
      <c r="H3" s="495" cm="1">
        <f t="array" aca="1" ref="H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 s="498" t="str">
        <f ca="1">IF(Inventarisatie[[#This Row],[Freq. Ma-Vr]]=0,0,IF(ISNUMBER(SEARCH("/",_xlfn.XLOOKUP(Inventarisatie[[#This Row],[Locatie]],Tabel2[Locatiecode],Tabel2[Basisfrequentie],0,0))),VLOOKUP("za",WkDagen[],YEAR(NOW())-2020,FALSE),""))</f>
        <v/>
      </c>
      <c r="J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 s="498" t="str">
        <f ca="1">IF(Inventarisatie[[#This Row],[Freq. Ma-Vr]]=0,0,IF(_xlfn.XLOOKUP(Inventarisatie[[#This Row],[Locatie]],Tabel2[Locatiecode],Tabel2[Basisfrequentie],0,0)=Locatieoverzicht!$F$47,VLOOKUP("fe",WkDagen[],YEAR(NOW())-2020,FALSE),""))</f>
        <v/>
      </c>
    </row>
    <row r="4" spans="1:11" x14ac:dyDescent="0.2">
      <c r="A4" s="491" t="s">
        <v>3</v>
      </c>
      <c r="B4" s="492" t="s">
        <v>302</v>
      </c>
      <c r="C4" s="493" t="s">
        <v>8</v>
      </c>
      <c r="D4" s="491" t="s">
        <v>310</v>
      </c>
      <c r="E4" s="493" t="s">
        <v>5</v>
      </c>
      <c r="F4" s="493" t="s">
        <v>6</v>
      </c>
      <c r="G4" s="494">
        <v>23.9</v>
      </c>
      <c r="H4" s="495" cm="1">
        <f t="array" aca="1" ref="H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 s="498" t="str">
        <f ca="1">IF(Inventarisatie[[#This Row],[Freq. Ma-Vr]]=0,0,IF(ISNUMBER(SEARCH("/",_xlfn.XLOOKUP(Inventarisatie[[#This Row],[Locatie]],Tabel2[Locatiecode],Tabel2[Basisfrequentie],0,0))),VLOOKUP("za",WkDagen[],YEAR(NOW())-2020,FALSE),""))</f>
        <v/>
      </c>
      <c r="J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 s="498" t="str">
        <f ca="1">IF(Inventarisatie[[#This Row],[Freq. Ma-Vr]]=0,0,IF(_xlfn.XLOOKUP(Inventarisatie[[#This Row],[Locatie]],Tabel2[Locatiecode],Tabel2[Basisfrequentie],0,0)=Locatieoverzicht!$F$47,VLOOKUP("fe",WkDagen[],YEAR(NOW())-2020,FALSE),""))</f>
        <v/>
      </c>
    </row>
    <row r="5" spans="1:11" x14ac:dyDescent="0.2">
      <c r="A5" s="493" t="s">
        <v>3</v>
      </c>
      <c r="B5" s="492" t="s">
        <v>302</v>
      </c>
      <c r="C5" s="493" t="s">
        <v>9</v>
      </c>
      <c r="D5" s="491" t="s">
        <v>310</v>
      </c>
      <c r="E5" s="493" t="s">
        <v>5</v>
      </c>
      <c r="F5" s="497" t="s">
        <v>6</v>
      </c>
      <c r="G5" s="494">
        <v>23.9</v>
      </c>
      <c r="H5" s="495" cm="1">
        <f t="array" aca="1" ref="H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 s="498" t="str">
        <f ca="1">IF(Inventarisatie[[#This Row],[Freq. Ma-Vr]]=0,0,IF(ISNUMBER(SEARCH("/",_xlfn.XLOOKUP(Inventarisatie[[#This Row],[Locatie]],Tabel2[Locatiecode],Tabel2[Basisfrequentie],0,0))),VLOOKUP("za",WkDagen[],YEAR(NOW())-2020,FALSE),""))</f>
        <v/>
      </c>
      <c r="J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5" s="498" t="str">
        <f ca="1">IF(Inventarisatie[[#This Row],[Freq. Ma-Vr]]=0,0,IF(_xlfn.XLOOKUP(Inventarisatie[[#This Row],[Locatie]],Tabel2[Locatiecode],Tabel2[Basisfrequentie],0,0)=Locatieoverzicht!$F$47,VLOOKUP("fe",WkDagen[],YEAR(NOW())-2020,FALSE),""))</f>
        <v/>
      </c>
    </row>
    <row r="6" spans="1:11" x14ac:dyDescent="0.2">
      <c r="A6" s="491" t="s">
        <v>3</v>
      </c>
      <c r="B6" s="492" t="s">
        <v>302</v>
      </c>
      <c r="C6" s="493" t="s">
        <v>10</v>
      </c>
      <c r="D6" s="491" t="s">
        <v>310</v>
      </c>
      <c r="E6" s="493" t="s">
        <v>5</v>
      </c>
      <c r="F6" s="493" t="s">
        <v>6</v>
      </c>
      <c r="G6" s="494">
        <v>23</v>
      </c>
      <c r="H6" s="495" cm="1">
        <f t="array" aca="1" ref="H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6" s="498" t="str">
        <f ca="1">IF(Inventarisatie[[#This Row],[Freq. Ma-Vr]]=0,0,IF(ISNUMBER(SEARCH("/",_xlfn.XLOOKUP(Inventarisatie[[#This Row],[Locatie]],Tabel2[Locatiecode],Tabel2[Basisfrequentie],0,0))),VLOOKUP("za",WkDagen[],YEAR(NOW())-2020,FALSE),""))</f>
        <v/>
      </c>
      <c r="J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6" s="498" t="str">
        <f ca="1">IF(Inventarisatie[[#This Row],[Freq. Ma-Vr]]=0,0,IF(_xlfn.XLOOKUP(Inventarisatie[[#This Row],[Locatie]],Tabel2[Locatiecode],Tabel2[Basisfrequentie],0,0)=Locatieoverzicht!$F$47,VLOOKUP("fe",WkDagen[],YEAR(NOW())-2020,FALSE),""))</f>
        <v/>
      </c>
    </row>
    <row r="7" spans="1:11" x14ac:dyDescent="0.2">
      <c r="A7" s="493" t="s">
        <v>3</v>
      </c>
      <c r="B7" s="492" t="s">
        <v>302</v>
      </c>
      <c r="C7" s="493" t="s">
        <v>11</v>
      </c>
      <c r="D7" s="491" t="s">
        <v>308</v>
      </c>
      <c r="E7" s="493" t="s">
        <v>12</v>
      </c>
      <c r="F7" s="497" t="s">
        <v>6</v>
      </c>
      <c r="G7" s="494">
        <v>20.100000000000001</v>
      </c>
      <c r="H7" s="495" cm="1">
        <f t="array" aca="1" ref="H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7" s="498" t="str">
        <f ca="1">IF(Inventarisatie[[#This Row],[Freq. Ma-Vr]]=0,0,IF(ISNUMBER(SEARCH("/",_xlfn.XLOOKUP(Inventarisatie[[#This Row],[Locatie]],Tabel2[Locatiecode],Tabel2[Basisfrequentie],0,0))),VLOOKUP("za",WkDagen[],YEAR(NOW())-2020,FALSE),""))</f>
        <v/>
      </c>
      <c r="J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7" s="498" t="str">
        <f ca="1">IF(Inventarisatie[[#This Row],[Freq. Ma-Vr]]=0,0,IF(_xlfn.XLOOKUP(Inventarisatie[[#This Row],[Locatie]],Tabel2[Locatiecode],Tabel2[Basisfrequentie],0,0)=Locatieoverzicht!$F$47,VLOOKUP("fe",WkDagen[],YEAR(NOW())-2020,FALSE),""))</f>
        <v/>
      </c>
    </row>
    <row r="8" spans="1:11" x14ac:dyDescent="0.2">
      <c r="A8" s="491" t="s">
        <v>3</v>
      </c>
      <c r="B8" s="492" t="s">
        <v>302</v>
      </c>
      <c r="C8" s="493" t="s">
        <v>13</v>
      </c>
      <c r="D8" s="491" t="s">
        <v>312</v>
      </c>
      <c r="E8" s="493" t="s">
        <v>14</v>
      </c>
      <c r="F8" s="493" t="s">
        <v>6</v>
      </c>
      <c r="G8" s="494">
        <v>4.5999999999999996</v>
      </c>
      <c r="H8" s="495" cm="1">
        <f t="array" aca="1" ref="H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8" s="498" t="str">
        <f ca="1">IF(Inventarisatie[[#This Row],[Freq. Ma-Vr]]=0,0,IF(ISNUMBER(SEARCH("/",_xlfn.XLOOKUP(Inventarisatie[[#This Row],[Locatie]],Tabel2[Locatiecode],Tabel2[Basisfrequentie],0,0))),VLOOKUP("za",WkDagen[],YEAR(NOW())-2020,FALSE),""))</f>
        <v/>
      </c>
      <c r="J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8" s="498" t="str">
        <f ca="1">IF(Inventarisatie[[#This Row],[Freq. Ma-Vr]]=0,0,IF(_xlfn.XLOOKUP(Inventarisatie[[#This Row],[Locatie]],Tabel2[Locatiecode],Tabel2[Basisfrequentie],0,0)=Locatieoverzicht!$F$47,VLOOKUP("fe",WkDagen[],YEAR(NOW())-2020,FALSE),""))</f>
        <v/>
      </c>
    </row>
    <row r="9" spans="1:11" x14ac:dyDescent="0.2">
      <c r="A9" s="493" t="s">
        <v>3</v>
      </c>
      <c r="B9" s="492" t="s">
        <v>302</v>
      </c>
      <c r="C9" s="493" t="s">
        <v>15</v>
      </c>
      <c r="D9" s="491" t="s">
        <v>311</v>
      </c>
      <c r="E9" s="493" t="s">
        <v>16</v>
      </c>
      <c r="F9" s="497" t="s">
        <v>17</v>
      </c>
      <c r="G9" s="494">
        <v>2.1</v>
      </c>
      <c r="H9" s="495" cm="1">
        <f t="array" aca="1" ref="H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9" s="498" t="str">
        <f ca="1">IF(Inventarisatie[[#This Row],[Freq. Ma-Vr]]=0,0,IF(ISNUMBER(SEARCH("/",_xlfn.XLOOKUP(Inventarisatie[[#This Row],[Locatie]],Tabel2[Locatiecode],Tabel2[Basisfrequentie],0,0))),VLOOKUP("za",WkDagen[],YEAR(NOW())-2020,FALSE),""))</f>
        <v/>
      </c>
      <c r="J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9" s="498" t="str">
        <f ca="1">IF(Inventarisatie[[#This Row],[Freq. Ma-Vr]]=0,0,IF(_xlfn.XLOOKUP(Inventarisatie[[#This Row],[Locatie]],Tabel2[Locatiecode],Tabel2[Basisfrequentie],0,0)=Locatieoverzicht!$F$47,VLOOKUP("fe",WkDagen[],YEAR(NOW())-2020,FALSE),""))</f>
        <v/>
      </c>
    </row>
    <row r="10" spans="1:11" x14ac:dyDescent="0.2">
      <c r="A10" s="491" t="s">
        <v>3</v>
      </c>
      <c r="B10" s="492" t="s">
        <v>302</v>
      </c>
      <c r="C10" s="493" t="s">
        <v>18</v>
      </c>
      <c r="D10" s="491" t="s">
        <v>312</v>
      </c>
      <c r="E10" s="493" t="s">
        <v>19</v>
      </c>
      <c r="F10" s="493" t="s">
        <v>6</v>
      </c>
      <c r="G10" s="494">
        <v>60.5</v>
      </c>
      <c r="H10" s="495" cm="1">
        <f t="array" aca="1" ref="H1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0" s="498" t="str">
        <f ca="1">IF(Inventarisatie[[#This Row],[Freq. Ma-Vr]]=0,0,IF(ISNUMBER(SEARCH("/",_xlfn.XLOOKUP(Inventarisatie[[#This Row],[Locatie]],Tabel2[Locatiecode],Tabel2[Basisfrequentie],0,0))),VLOOKUP("za",WkDagen[],YEAR(NOW())-2020,FALSE),""))</f>
        <v/>
      </c>
      <c r="J1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0" s="498" t="str">
        <f ca="1">IF(Inventarisatie[[#This Row],[Freq. Ma-Vr]]=0,0,IF(_xlfn.XLOOKUP(Inventarisatie[[#This Row],[Locatie]],Tabel2[Locatiecode],Tabel2[Basisfrequentie],0,0)=Locatieoverzicht!$F$47,VLOOKUP("fe",WkDagen[],YEAR(NOW())-2020,FALSE),""))</f>
        <v/>
      </c>
    </row>
    <row r="11" spans="1:11" x14ac:dyDescent="0.2">
      <c r="A11" s="493" t="s">
        <v>3</v>
      </c>
      <c r="B11" s="492" t="s">
        <v>302</v>
      </c>
      <c r="C11" s="493" t="s">
        <v>20</v>
      </c>
      <c r="D11" s="491" t="s">
        <v>312</v>
      </c>
      <c r="E11" s="493" t="s">
        <v>21</v>
      </c>
      <c r="F11" s="497" t="s">
        <v>6</v>
      </c>
      <c r="G11" s="494">
        <v>2.2999999999999998</v>
      </c>
      <c r="H11" s="495" cm="1">
        <f t="array" aca="1" ref="H1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1" s="498" t="str">
        <f ca="1">IF(Inventarisatie[[#This Row],[Freq. Ma-Vr]]=0,0,IF(ISNUMBER(SEARCH("/",_xlfn.XLOOKUP(Inventarisatie[[#This Row],[Locatie]],Tabel2[Locatiecode],Tabel2[Basisfrequentie],0,0))),VLOOKUP("za",WkDagen[],YEAR(NOW())-2020,FALSE),""))</f>
        <v/>
      </c>
      <c r="J1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1" s="498" t="str">
        <f ca="1">IF(Inventarisatie[[#This Row],[Freq. Ma-Vr]]=0,0,IF(_xlfn.XLOOKUP(Inventarisatie[[#This Row],[Locatie]],Tabel2[Locatiecode],Tabel2[Basisfrequentie],0,0)=Locatieoverzicht!$F$47,VLOOKUP("fe",WkDagen[],YEAR(NOW())-2020,FALSE),""))</f>
        <v/>
      </c>
    </row>
    <row r="12" spans="1:11" x14ac:dyDescent="0.2">
      <c r="A12" s="491" t="s">
        <v>3</v>
      </c>
      <c r="B12" s="492" t="s">
        <v>302</v>
      </c>
      <c r="C12" s="493" t="s">
        <v>22</v>
      </c>
      <c r="D12" s="491" t="s">
        <v>312</v>
      </c>
      <c r="E12" s="493" t="s">
        <v>21</v>
      </c>
      <c r="F12" s="493" t="s">
        <v>6</v>
      </c>
      <c r="G12" s="494">
        <v>2.2999999999999998</v>
      </c>
      <c r="H12" s="495" cm="1">
        <f t="array" aca="1" ref="H1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2" s="498" t="str">
        <f ca="1">IF(Inventarisatie[[#This Row],[Freq. Ma-Vr]]=0,0,IF(ISNUMBER(SEARCH("/",_xlfn.XLOOKUP(Inventarisatie[[#This Row],[Locatie]],Tabel2[Locatiecode],Tabel2[Basisfrequentie],0,0))),VLOOKUP("za",WkDagen[],YEAR(NOW())-2020,FALSE),""))</f>
        <v/>
      </c>
      <c r="J1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2" s="498" t="str">
        <f ca="1">IF(Inventarisatie[[#This Row],[Freq. Ma-Vr]]=0,0,IF(_xlfn.XLOOKUP(Inventarisatie[[#This Row],[Locatie]],Tabel2[Locatiecode],Tabel2[Basisfrequentie],0,0)=Locatieoverzicht!$F$47,VLOOKUP("fe",WkDagen[],YEAR(NOW())-2020,FALSE),""))</f>
        <v/>
      </c>
    </row>
    <row r="13" spans="1:11" x14ac:dyDescent="0.2">
      <c r="A13" s="493" t="s">
        <v>3</v>
      </c>
      <c r="B13" s="492" t="s">
        <v>302</v>
      </c>
      <c r="C13" s="493" t="s">
        <v>23</v>
      </c>
      <c r="D13" s="491" t="s">
        <v>24</v>
      </c>
      <c r="E13" s="493" t="s">
        <v>24</v>
      </c>
      <c r="F13" s="497" t="s">
        <v>6</v>
      </c>
      <c r="G13" s="494">
        <v>44.7</v>
      </c>
      <c r="H13" s="495" cm="1">
        <f t="array" aca="1" ref="H1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3" s="498" t="str">
        <f ca="1">IF(Inventarisatie[[#This Row],[Freq. Ma-Vr]]=0,0,IF(ISNUMBER(SEARCH("/",_xlfn.XLOOKUP(Inventarisatie[[#This Row],[Locatie]],Tabel2[Locatiecode],Tabel2[Basisfrequentie],0,0))),VLOOKUP("za",WkDagen[],YEAR(NOW())-2020,FALSE),""))</f>
        <v/>
      </c>
      <c r="J1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3" s="498" t="str">
        <f ca="1">IF(Inventarisatie[[#This Row],[Freq. Ma-Vr]]=0,0,IF(_xlfn.XLOOKUP(Inventarisatie[[#This Row],[Locatie]],Tabel2[Locatiecode],Tabel2[Basisfrequentie],0,0)=Locatieoverzicht!$F$47,VLOOKUP("fe",WkDagen[],YEAR(NOW())-2020,FALSE),""))</f>
        <v/>
      </c>
    </row>
    <row r="14" spans="1:11" x14ac:dyDescent="0.2">
      <c r="A14" s="491" t="s">
        <v>3</v>
      </c>
      <c r="B14" s="492" t="s">
        <v>302</v>
      </c>
      <c r="C14" s="493" t="s">
        <v>25</v>
      </c>
      <c r="D14" s="491" t="s">
        <v>307</v>
      </c>
      <c r="E14" s="493" t="s">
        <v>26</v>
      </c>
      <c r="F14" s="493" t="s">
        <v>6</v>
      </c>
      <c r="G14" s="494">
        <v>23.7</v>
      </c>
      <c r="H14" s="495" cm="1">
        <f t="array" aca="1" ref="H1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4" s="498" t="str">
        <f ca="1">IF(Inventarisatie[[#This Row],[Freq. Ma-Vr]]=0,0,IF(ISNUMBER(SEARCH("/",_xlfn.XLOOKUP(Inventarisatie[[#This Row],[Locatie]],Tabel2[Locatiecode],Tabel2[Basisfrequentie],0,0))),VLOOKUP("za",WkDagen[],YEAR(NOW())-2020,FALSE),""))</f>
        <v/>
      </c>
      <c r="J1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4" s="498" t="str">
        <f ca="1">IF(Inventarisatie[[#This Row],[Freq. Ma-Vr]]=0,0,IF(_xlfn.XLOOKUP(Inventarisatie[[#This Row],[Locatie]],Tabel2[Locatiecode],Tabel2[Basisfrequentie],0,0)=Locatieoverzicht!$F$47,VLOOKUP("fe",WkDagen[],YEAR(NOW())-2020,FALSE),""))</f>
        <v/>
      </c>
    </row>
    <row r="15" spans="1:11" x14ac:dyDescent="0.2">
      <c r="A15" s="493" t="s">
        <v>3</v>
      </c>
      <c r="B15" s="492" t="s">
        <v>302</v>
      </c>
      <c r="C15" s="493" t="s">
        <v>27</v>
      </c>
      <c r="D15" s="491" t="s">
        <v>307</v>
      </c>
      <c r="E15" s="493" t="s">
        <v>26</v>
      </c>
      <c r="F15" s="497" t="s">
        <v>6</v>
      </c>
      <c r="G15" s="494">
        <v>29.7</v>
      </c>
      <c r="H15" s="495" cm="1">
        <f t="array" aca="1" ref="H1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5" s="498" t="str">
        <f ca="1">IF(Inventarisatie[[#This Row],[Freq. Ma-Vr]]=0,0,IF(ISNUMBER(SEARCH("/",_xlfn.XLOOKUP(Inventarisatie[[#This Row],[Locatie]],Tabel2[Locatiecode],Tabel2[Basisfrequentie],0,0))),VLOOKUP("za",WkDagen[],YEAR(NOW())-2020,FALSE),""))</f>
        <v/>
      </c>
      <c r="J1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5" s="498" t="str">
        <f ca="1">IF(Inventarisatie[[#This Row],[Freq. Ma-Vr]]=0,0,IF(_xlfn.XLOOKUP(Inventarisatie[[#This Row],[Locatie]],Tabel2[Locatiecode],Tabel2[Basisfrequentie],0,0)=Locatieoverzicht!$F$47,VLOOKUP("fe",WkDagen[],YEAR(NOW())-2020,FALSE),""))</f>
        <v/>
      </c>
    </row>
    <row r="16" spans="1:11" x14ac:dyDescent="0.2">
      <c r="A16" s="491" t="s">
        <v>3</v>
      </c>
      <c r="B16" s="492" t="s">
        <v>302</v>
      </c>
      <c r="C16" s="493" t="s">
        <v>28</v>
      </c>
      <c r="D16" s="491" t="s">
        <v>312</v>
      </c>
      <c r="E16" s="493" t="s">
        <v>29</v>
      </c>
      <c r="F16" s="493" t="s">
        <v>6</v>
      </c>
      <c r="G16" s="494">
        <v>8.4</v>
      </c>
      <c r="H16" s="495" cm="1">
        <f t="array" aca="1" ref="H1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6" s="498" t="str">
        <f ca="1">IF(Inventarisatie[[#This Row],[Freq. Ma-Vr]]=0,0,IF(ISNUMBER(SEARCH("/",_xlfn.XLOOKUP(Inventarisatie[[#This Row],[Locatie]],Tabel2[Locatiecode],Tabel2[Basisfrequentie],0,0))),VLOOKUP("za",WkDagen[],YEAR(NOW())-2020,FALSE),""))</f>
        <v/>
      </c>
      <c r="J1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6" s="498" t="str">
        <f ca="1">IF(Inventarisatie[[#This Row],[Freq. Ma-Vr]]=0,0,IF(_xlfn.XLOOKUP(Inventarisatie[[#This Row],[Locatie]],Tabel2[Locatiecode],Tabel2[Basisfrequentie],0,0)=Locatieoverzicht!$F$47,VLOOKUP("fe",WkDagen[],YEAR(NOW())-2020,FALSE),""))</f>
        <v/>
      </c>
    </row>
    <row r="17" spans="1:11" x14ac:dyDescent="0.2">
      <c r="A17" s="493" t="s">
        <v>3</v>
      </c>
      <c r="B17" s="492" t="s">
        <v>302</v>
      </c>
      <c r="C17" s="493" t="s">
        <v>30</v>
      </c>
      <c r="D17" s="491" t="s">
        <v>307</v>
      </c>
      <c r="E17" s="493" t="s">
        <v>31</v>
      </c>
      <c r="F17" s="497" t="s">
        <v>6</v>
      </c>
      <c r="G17" s="494">
        <v>8.5</v>
      </c>
      <c r="H17" s="495" cm="1">
        <f t="array" aca="1" ref="H1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7" s="498" t="str">
        <f ca="1">IF(Inventarisatie[[#This Row],[Freq. Ma-Vr]]=0,0,IF(ISNUMBER(SEARCH("/",_xlfn.XLOOKUP(Inventarisatie[[#This Row],[Locatie]],Tabel2[Locatiecode],Tabel2[Basisfrequentie],0,0))),VLOOKUP("za",WkDagen[],YEAR(NOW())-2020,FALSE),""))</f>
        <v/>
      </c>
      <c r="J1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7" s="498" t="str">
        <f ca="1">IF(Inventarisatie[[#This Row],[Freq. Ma-Vr]]=0,0,IF(_xlfn.XLOOKUP(Inventarisatie[[#This Row],[Locatie]],Tabel2[Locatiecode],Tabel2[Basisfrequentie],0,0)=Locatieoverzicht!$F$47,VLOOKUP("fe",WkDagen[],YEAR(NOW())-2020,FALSE),""))</f>
        <v/>
      </c>
    </row>
    <row r="18" spans="1:11" x14ac:dyDescent="0.2">
      <c r="A18" s="499" t="s">
        <v>32</v>
      </c>
      <c r="B18" s="500" t="s">
        <v>301</v>
      </c>
      <c r="C18" s="501"/>
      <c r="D18" s="491" t="s">
        <v>310</v>
      </c>
      <c r="E18" s="501" t="s">
        <v>34</v>
      </c>
      <c r="F18" s="502" t="s">
        <v>6</v>
      </c>
      <c r="G18" s="494">
        <v>10.9</v>
      </c>
      <c r="H18" s="503" cm="1">
        <f t="array" aca="1" ref="H1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204</v>
      </c>
      <c r="I18" s="496" t="str">
        <f ca="1">IF(Inventarisatie[[#This Row],[Freq. Ma-Vr]]=0,0,IF(ISNUMBER(SEARCH("/",_xlfn.XLOOKUP(Inventarisatie[[#This Row],[Locatie]],Tabel2[Locatiecode],Tabel2[Basisfrequentie],0,0))),VLOOKUP("za",WkDagen[],YEAR(NOW())-2020,FALSE),""))</f>
        <v/>
      </c>
      <c r="J1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8" s="498" t="str">
        <f ca="1">IF(Inventarisatie[[#This Row],[Freq. Ma-Vr]]=0,0,IF(_xlfn.XLOOKUP(Inventarisatie[[#This Row],[Locatie]],Tabel2[Locatiecode],Tabel2[Basisfrequentie],0,0)=Locatieoverzicht!$F$47,VLOOKUP("fe",WkDagen[],YEAR(NOW())-2020,FALSE),""))</f>
        <v/>
      </c>
    </row>
    <row r="19" spans="1:11" x14ac:dyDescent="0.2">
      <c r="A19" s="499" t="s">
        <v>32</v>
      </c>
      <c r="B19" s="500" t="s">
        <v>301</v>
      </c>
      <c r="C19" s="501"/>
      <c r="D19" s="491" t="s">
        <v>310</v>
      </c>
      <c r="E19" s="501" t="s">
        <v>34</v>
      </c>
      <c r="F19" s="502" t="s">
        <v>6</v>
      </c>
      <c r="G19" s="494">
        <v>10.3</v>
      </c>
      <c r="H19" s="495" cm="1">
        <f t="array" aca="1" ref="H1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204</v>
      </c>
      <c r="I19" s="498" t="str">
        <f ca="1">IF(Inventarisatie[[#This Row],[Freq. Ma-Vr]]=0,0,IF(ISNUMBER(SEARCH("/",_xlfn.XLOOKUP(Inventarisatie[[#This Row],[Locatie]],Tabel2[Locatiecode],Tabel2[Basisfrequentie],0,0))),VLOOKUP("za",WkDagen[],YEAR(NOW())-2020,FALSE),""))</f>
        <v/>
      </c>
      <c r="J1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9" s="498" t="str">
        <f ca="1">IF(Inventarisatie[[#This Row],[Freq. Ma-Vr]]=0,0,IF(_xlfn.XLOOKUP(Inventarisatie[[#This Row],[Locatie]],Tabel2[Locatiecode],Tabel2[Basisfrequentie],0,0)=Locatieoverzicht!$F$47,VLOOKUP("fe",WkDagen[],YEAR(NOW())-2020,FALSE),""))</f>
        <v/>
      </c>
    </row>
    <row r="20" spans="1:11" x14ac:dyDescent="0.2">
      <c r="A20" s="499" t="s">
        <v>32</v>
      </c>
      <c r="B20" s="500" t="s">
        <v>301</v>
      </c>
      <c r="C20" s="501"/>
      <c r="D20" s="491" t="s">
        <v>311</v>
      </c>
      <c r="E20" s="501" t="s">
        <v>16</v>
      </c>
      <c r="F20" s="502" t="s">
        <v>6</v>
      </c>
      <c r="G20" s="494">
        <v>2.1</v>
      </c>
      <c r="H20" s="495" cm="1">
        <f t="array" aca="1" ref="H2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204</v>
      </c>
      <c r="I20" s="498" t="str">
        <f ca="1">IF(Inventarisatie[[#This Row],[Freq. Ma-Vr]]=0,0,IF(ISNUMBER(SEARCH("/",_xlfn.XLOOKUP(Inventarisatie[[#This Row],[Locatie]],Tabel2[Locatiecode],Tabel2[Basisfrequentie],0,0))),VLOOKUP("za",WkDagen[],YEAR(NOW())-2020,FALSE),""))</f>
        <v/>
      </c>
      <c r="J2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0" s="498" t="str">
        <f ca="1">IF(Inventarisatie[[#This Row],[Freq. Ma-Vr]]=0,0,IF(_xlfn.XLOOKUP(Inventarisatie[[#This Row],[Locatie]],Tabel2[Locatiecode],Tabel2[Basisfrequentie],0,0)=Locatieoverzicht!$F$47,VLOOKUP("fe",WkDagen[],YEAR(NOW())-2020,FALSE),""))</f>
        <v/>
      </c>
    </row>
    <row r="21" spans="1:11" x14ac:dyDescent="0.2">
      <c r="A21" s="499" t="s">
        <v>32</v>
      </c>
      <c r="B21" s="500" t="s">
        <v>301</v>
      </c>
      <c r="C21" s="501"/>
      <c r="D21" s="491" t="s">
        <v>308</v>
      </c>
      <c r="E21" s="501" t="s">
        <v>35</v>
      </c>
      <c r="F21" s="501" t="s">
        <v>6</v>
      </c>
      <c r="G21" s="494">
        <v>3.2</v>
      </c>
      <c r="H21" s="495" cm="1">
        <f t="array" aca="1" ref="H2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204</v>
      </c>
      <c r="I21" s="498" t="str">
        <f ca="1">IF(Inventarisatie[[#This Row],[Freq. Ma-Vr]]=0,0,IF(ISNUMBER(SEARCH("/",_xlfn.XLOOKUP(Inventarisatie[[#This Row],[Locatie]],Tabel2[Locatiecode],Tabel2[Basisfrequentie],0,0))),VLOOKUP("za",WkDagen[],YEAR(NOW())-2020,FALSE),""))</f>
        <v/>
      </c>
      <c r="J2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1" s="498" t="str">
        <f ca="1">IF(Inventarisatie[[#This Row],[Freq. Ma-Vr]]=0,0,IF(_xlfn.XLOOKUP(Inventarisatie[[#This Row],[Locatie]],Tabel2[Locatiecode],Tabel2[Basisfrequentie],0,0)=Locatieoverzicht!$F$47,VLOOKUP("fe",WkDagen[],YEAR(NOW())-2020,FALSE),""))</f>
        <v/>
      </c>
    </row>
    <row r="22" spans="1:11" x14ac:dyDescent="0.2">
      <c r="A22" s="499" t="s">
        <v>32</v>
      </c>
      <c r="B22" s="492" t="s">
        <v>301</v>
      </c>
      <c r="C22" s="501" t="s">
        <v>33</v>
      </c>
      <c r="D22" s="491" t="s">
        <v>307</v>
      </c>
      <c r="E22" s="501" t="s">
        <v>26</v>
      </c>
      <c r="F22" s="502" t="s">
        <v>6</v>
      </c>
      <c r="G22" s="494">
        <v>57</v>
      </c>
      <c r="H22" s="495" cm="1">
        <f t="array" aca="1" ref="H2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204</v>
      </c>
      <c r="I22" s="498" t="str">
        <f ca="1">IF(Inventarisatie[[#This Row],[Freq. Ma-Vr]]=0,0,IF(ISNUMBER(SEARCH("/",_xlfn.XLOOKUP(Inventarisatie[[#This Row],[Locatie]],Tabel2[Locatiecode],Tabel2[Basisfrequentie],0,0))),VLOOKUP("za",WkDagen[],YEAR(NOW())-2020,FALSE),""))</f>
        <v/>
      </c>
      <c r="J2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2" s="498" t="str">
        <f ca="1">IF(Inventarisatie[[#This Row],[Freq. Ma-Vr]]=0,0,IF(_xlfn.XLOOKUP(Inventarisatie[[#This Row],[Locatie]],Tabel2[Locatiecode],Tabel2[Basisfrequentie],0,0)=Locatieoverzicht!$F$47,VLOOKUP("fe",WkDagen[],YEAR(NOW())-2020,FALSE),""))</f>
        <v/>
      </c>
    </row>
    <row r="23" spans="1:11" x14ac:dyDescent="0.2">
      <c r="A23" s="493" t="s">
        <v>256</v>
      </c>
      <c r="B23" s="492" t="s">
        <v>303</v>
      </c>
      <c r="C23" s="493">
        <v>1</v>
      </c>
      <c r="D23" s="491" t="s">
        <v>310</v>
      </c>
      <c r="E23" s="501" t="s">
        <v>34</v>
      </c>
      <c r="F23" s="493" t="s">
        <v>39</v>
      </c>
      <c r="G23" s="494">
        <v>17.5</v>
      </c>
      <c r="H23" s="495" cm="1">
        <f t="array" aca="1" ref="H2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3" s="498" t="str">
        <f ca="1">IF(Inventarisatie[[#This Row],[Freq. Ma-Vr]]=0,0,IF(ISNUMBER(SEARCH("/",_xlfn.XLOOKUP(Inventarisatie[[#This Row],[Locatie]],Tabel2[Locatiecode],Tabel2[Basisfrequentie],0,0))),VLOOKUP("za",WkDagen[],YEAR(NOW())-2020,FALSE),""))</f>
        <v/>
      </c>
      <c r="J2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3" s="498" t="str">
        <f ca="1">IF(Inventarisatie[[#This Row],[Freq. Ma-Vr]]=0,0,IF(_xlfn.XLOOKUP(Inventarisatie[[#This Row],[Locatie]],Tabel2[Locatiecode],Tabel2[Basisfrequentie],0,0)=Locatieoverzicht!$F$47,VLOOKUP("fe",WkDagen[],YEAR(NOW())-2020,FALSE),""))</f>
        <v/>
      </c>
    </row>
    <row r="24" spans="1:11" x14ac:dyDescent="0.2">
      <c r="A24" s="493" t="s">
        <v>256</v>
      </c>
      <c r="B24" s="492" t="s">
        <v>303</v>
      </c>
      <c r="C24" s="493">
        <v>2</v>
      </c>
      <c r="D24" s="491" t="s">
        <v>307</v>
      </c>
      <c r="E24" s="493" t="s">
        <v>26</v>
      </c>
      <c r="F24" s="493" t="s">
        <v>39</v>
      </c>
      <c r="G24" s="494">
        <v>58.4</v>
      </c>
      <c r="H24" s="495" cm="1">
        <f t="array" aca="1" ref="H2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4" s="498" t="str">
        <f ca="1">IF(Inventarisatie[[#This Row],[Freq. Ma-Vr]]=0,0,IF(ISNUMBER(SEARCH("/",_xlfn.XLOOKUP(Inventarisatie[[#This Row],[Locatie]],Tabel2[Locatiecode],Tabel2[Basisfrequentie],0,0))),VLOOKUP("za",WkDagen[],YEAR(NOW())-2020,FALSE),""))</f>
        <v/>
      </c>
      <c r="J2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4" s="498" t="str">
        <f ca="1">IF(Inventarisatie[[#This Row],[Freq. Ma-Vr]]=0,0,IF(_xlfn.XLOOKUP(Inventarisatie[[#This Row],[Locatie]],Tabel2[Locatiecode],Tabel2[Basisfrequentie],0,0)=Locatieoverzicht!$F$47,VLOOKUP("fe",WkDagen[],YEAR(NOW())-2020,FALSE),""))</f>
        <v/>
      </c>
    </row>
    <row r="25" spans="1:11" x14ac:dyDescent="0.2">
      <c r="A25" s="493" t="s">
        <v>256</v>
      </c>
      <c r="B25" s="492" t="s">
        <v>303</v>
      </c>
      <c r="C25" s="493">
        <v>3</v>
      </c>
      <c r="D25" s="491" t="s">
        <v>310</v>
      </c>
      <c r="E25" s="493" t="s">
        <v>309</v>
      </c>
      <c r="F25" s="493" t="s">
        <v>39</v>
      </c>
      <c r="G25" s="494">
        <v>41.5</v>
      </c>
      <c r="H25" s="495" cm="1">
        <f t="array" aca="1" ref="H2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5" s="498" t="str">
        <f ca="1">IF(Inventarisatie[[#This Row],[Freq. Ma-Vr]]=0,0,IF(ISNUMBER(SEARCH("/",_xlfn.XLOOKUP(Inventarisatie[[#This Row],[Locatie]],Tabel2[Locatiecode],Tabel2[Basisfrequentie],0,0))),VLOOKUP("za",WkDagen[],YEAR(NOW())-2020,FALSE),""))</f>
        <v/>
      </c>
      <c r="J2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5" s="498" t="str">
        <f ca="1">IF(Inventarisatie[[#This Row],[Freq. Ma-Vr]]=0,0,IF(_xlfn.XLOOKUP(Inventarisatie[[#This Row],[Locatie]],Tabel2[Locatiecode],Tabel2[Basisfrequentie],0,0)=Locatieoverzicht!$F$47,VLOOKUP("fe",WkDagen[],YEAR(NOW())-2020,FALSE),""))</f>
        <v/>
      </c>
    </row>
    <row r="26" spans="1:11" x14ac:dyDescent="0.2">
      <c r="A26" s="493" t="s">
        <v>256</v>
      </c>
      <c r="B26" s="492" t="s">
        <v>303</v>
      </c>
      <c r="C26" s="493">
        <v>4</v>
      </c>
      <c r="D26" s="491" t="s">
        <v>310</v>
      </c>
      <c r="E26" s="501" t="s">
        <v>34</v>
      </c>
      <c r="F26" s="493" t="s">
        <v>39</v>
      </c>
      <c r="G26" s="494">
        <v>16</v>
      </c>
      <c r="H26" s="495" cm="1">
        <f t="array" aca="1" ref="H2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6" s="498" t="str">
        <f ca="1">IF(Inventarisatie[[#This Row],[Freq. Ma-Vr]]=0,0,IF(ISNUMBER(SEARCH("/",_xlfn.XLOOKUP(Inventarisatie[[#This Row],[Locatie]],Tabel2[Locatiecode],Tabel2[Basisfrequentie],0,0))),VLOOKUP("za",WkDagen[],YEAR(NOW())-2020,FALSE),""))</f>
        <v/>
      </c>
      <c r="J2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6" s="498" t="str">
        <f ca="1">IF(Inventarisatie[[#This Row],[Freq. Ma-Vr]]=0,0,IF(_xlfn.XLOOKUP(Inventarisatie[[#This Row],[Locatie]],Tabel2[Locatiecode],Tabel2[Basisfrequentie],0,0)=Locatieoverzicht!$F$47,VLOOKUP("fe",WkDagen[],YEAR(NOW())-2020,FALSE),""))</f>
        <v/>
      </c>
    </row>
    <row r="27" spans="1:11" x14ac:dyDescent="0.2">
      <c r="A27" s="493" t="s">
        <v>256</v>
      </c>
      <c r="B27" s="492" t="s">
        <v>303</v>
      </c>
      <c r="C27" s="493">
        <v>5</v>
      </c>
      <c r="D27" s="491" t="s">
        <v>307</v>
      </c>
      <c r="E27" s="493" t="s">
        <v>26</v>
      </c>
      <c r="F27" s="493" t="s">
        <v>39</v>
      </c>
      <c r="G27" s="494">
        <v>17</v>
      </c>
      <c r="H27" s="495" cm="1">
        <f t="array" aca="1" ref="H2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7" s="498" t="str">
        <f ca="1">IF(Inventarisatie[[#This Row],[Freq. Ma-Vr]]=0,0,IF(ISNUMBER(SEARCH("/",_xlfn.XLOOKUP(Inventarisatie[[#This Row],[Locatie]],Tabel2[Locatiecode],Tabel2[Basisfrequentie],0,0))),VLOOKUP("za",WkDagen[],YEAR(NOW())-2020,FALSE),""))</f>
        <v/>
      </c>
      <c r="J2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7" s="498" t="str">
        <f ca="1">IF(Inventarisatie[[#This Row],[Freq. Ma-Vr]]=0,0,IF(_xlfn.XLOOKUP(Inventarisatie[[#This Row],[Locatie]],Tabel2[Locatiecode],Tabel2[Basisfrequentie],0,0)=Locatieoverzicht!$F$47,VLOOKUP("fe",WkDagen[],YEAR(NOW())-2020,FALSE),""))</f>
        <v/>
      </c>
    </row>
    <row r="28" spans="1:11" x14ac:dyDescent="0.2">
      <c r="A28" s="493" t="s">
        <v>256</v>
      </c>
      <c r="B28" s="492" t="s">
        <v>303</v>
      </c>
      <c r="C28" s="493">
        <v>6</v>
      </c>
      <c r="D28" s="491" t="s">
        <v>307</v>
      </c>
      <c r="E28" s="493" t="s">
        <v>26</v>
      </c>
      <c r="F28" s="493" t="s">
        <v>39</v>
      </c>
      <c r="G28" s="494">
        <v>17.5</v>
      </c>
      <c r="H28" s="495" cm="1">
        <f t="array" aca="1" ref="H2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8" s="498" t="str">
        <f ca="1">IF(Inventarisatie[[#This Row],[Freq. Ma-Vr]]=0,0,IF(ISNUMBER(SEARCH("/",_xlfn.XLOOKUP(Inventarisatie[[#This Row],[Locatie]],Tabel2[Locatiecode],Tabel2[Basisfrequentie],0,0))),VLOOKUP("za",WkDagen[],YEAR(NOW())-2020,FALSE),""))</f>
        <v/>
      </c>
      <c r="J2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8" s="498" t="str">
        <f ca="1">IF(Inventarisatie[[#This Row],[Freq. Ma-Vr]]=0,0,IF(_xlfn.XLOOKUP(Inventarisatie[[#This Row],[Locatie]],Tabel2[Locatiecode],Tabel2[Basisfrequentie],0,0)=Locatieoverzicht!$F$47,VLOOKUP("fe",WkDagen[],YEAR(NOW())-2020,FALSE),""))</f>
        <v/>
      </c>
    </row>
    <row r="29" spans="1:11" x14ac:dyDescent="0.2">
      <c r="A29" s="493" t="s">
        <v>256</v>
      </c>
      <c r="B29" s="492" t="s">
        <v>303</v>
      </c>
      <c r="C29" s="493">
        <v>7</v>
      </c>
      <c r="D29" s="491" t="s">
        <v>312</v>
      </c>
      <c r="E29" s="493" t="s">
        <v>41</v>
      </c>
      <c r="F29" s="493" t="s">
        <v>268</v>
      </c>
      <c r="G29" s="494">
        <v>40.9</v>
      </c>
      <c r="H29" s="495" cm="1">
        <f t="array" aca="1" ref="H2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9" s="498" t="str">
        <f ca="1">IF(Inventarisatie[[#This Row],[Freq. Ma-Vr]]=0,0,IF(ISNUMBER(SEARCH("/",_xlfn.XLOOKUP(Inventarisatie[[#This Row],[Locatie]],Tabel2[Locatiecode],Tabel2[Basisfrequentie],0,0))),VLOOKUP("za",WkDagen[],YEAR(NOW())-2020,FALSE),""))</f>
        <v/>
      </c>
      <c r="J2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9" s="498" t="str">
        <f ca="1">IF(Inventarisatie[[#This Row],[Freq. Ma-Vr]]=0,0,IF(_xlfn.XLOOKUP(Inventarisatie[[#This Row],[Locatie]],Tabel2[Locatiecode],Tabel2[Basisfrequentie],0,0)=Locatieoverzicht!$F$47,VLOOKUP("fe",WkDagen[],YEAR(NOW())-2020,FALSE),""))</f>
        <v/>
      </c>
    </row>
    <row r="30" spans="1:11" x14ac:dyDescent="0.2">
      <c r="A30" s="493" t="s">
        <v>256</v>
      </c>
      <c r="B30" s="492" t="s">
        <v>304</v>
      </c>
      <c r="C30" s="493" t="s">
        <v>265</v>
      </c>
      <c r="D30" s="491" t="s">
        <v>312</v>
      </c>
      <c r="E30" s="493" t="s">
        <v>269</v>
      </c>
      <c r="F30" s="493" t="s">
        <v>39</v>
      </c>
      <c r="G30" s="494">
        <v>6.2</v>
      </c>
      <c r="H30" s="495" cm="1">
        <f t="array" aca="1" ref="H3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0" s="498" t="str">
        <f ca="1">IF(Inventarisatie[[#This Row],[Freq. Ma-Vr]]=0,0,IF(ISNUMBER(SEARCH("/",_xlfn.XLOOKUP(Inventarisatie[[#This Row],[Locatie]],Tabel2[Locatiecode],Tabel2[Basisfrequentie],0,0))),VLOOKUP("za",WkDagen[],YEAR(NOW())-2020,FALSE),""))</f>
        <v/>
      </c>
      <c r="J3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0" s="498" t="str">
        <f ca="1">IF(Inventarisatie[[#This Row],[Freq. Ma-Vr]]=0,0,IF(_xlfn.XLOOKUP(Inventarisatie[[#This Row],[Locatie]],Tabel2[Locatiecode],Tabel2[Basisfrequentie],0,0)=Locatieoverzicht!$F$47,VLOOKUP("fe",WkDagen[],YEAR(NOW())-2020,FALSE),""))</f>
        <v/>
      </c>
    </row>
    <row r="31" spans="1:11" x14ac:dyDescent="0.2">
      <c r="A31" s="493" t="s">
        <v>256</v>
      </c>
      <c r="B31" s="492" t="s">
        <v>304</v>
      </c>
      <c r="C31" s="493" t="s">
        <v>266</v>
      </c>
      <c r="D31" s="491" t="s">
        <v>307</v>
      </c>
      <c r="E31" s="493" t="s">
        <v>31</v>
      </c>
      <c r="F31" s="493" t="s">
        <v>268</v>
      </c>
      <c r="G31" s="494">
        <v>9.3000000000000007</v>
      </c>
      <c r="H31" s="495" cm="1">
        <f t="array" aca="1" ref="H3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1" s="498" t="str">
        <f ca="1">IF(Inventarisatie[[#This Row],[Freq. Ma-Vr]]=0,0,IF(ISNUMBER(SEARCH("/",_xlfn.XLOOKUP(Inventarisatie[[#This Row],[Locatie]],Tabel2[Locatiecode],Tabel2[Basisfrequentie],0,0))),VLOOKUP("za",WkDagen[],YEAR(NOW())-2020,FALSE),""))</f>
        <v/>
      </c>
      <c r="J3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1" s="498" t="str">
        <f ca="1">IF(Inventarisatie[[#This Row],[Freq. Ma-Vr]]=0,0,IF(_xlfn.XLOOKUP(Inventarisatie[[#This Row],[Locatie]],Tabel2[Locatiecode],Tabel2[Basisfrequentie],0,0)=Locatieoverzicht!$F$47,VLOOKUP("fe",WkDagen[],YEAR(NOW())-2020,FALSE),""))</f>
        <v/>
      </c>
    </row>
    <row r="32" spans="1:11" x14ac:dyDescent="0.2">
      <c r="A32" s="493" t="s">
        <v>256</v>
      </c>
      <c r="B32" s="492" t="s">
        <v>304</v>
      </c>
      <c r="C32" s="493" t="s">
        <v>267</v>
      </c>
      <c r="D32" s="491" t="s">
        <v>310</v>
      </c>
      <c r="E32" s="493" t="s">
        <v>19</v>
      </c>
      <c r="F32" s="493" t="s">
        <v>268</v>
      </c>
      <c r="G32" s="494">
        <v>6.4</v>
      </c>
      <c r="H32" s="495" cm="1">
        <f t="array" aca="1" ref="H3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2" s="498" t="str">
        <f ca="1">IF(Inventarisatie[[#This Row],[Freq. Ma-Vr]]=0,0,IF(ISNUMBER(SEARCH("/",_xlfn.XLOOKUP(Inventarisatie[[#This Row],[Locatie]],Tabel2[Locatiecode],Tabel2[Basisfrequentie],0,0))),VLOOKUP("za",WkDagen[],YEAR(NOW())-2020,FALSE),""))</f>
        <v/>
      </c>
      <c r="J3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2" s="498" t="str">
        <f ca="1">IF(Inventarisatie[[#This Row],[Freq. Ma-Vr]]=0,0,IF(_xlfn.XLOOKUP(Inventarisatie[[#This Row],[Locatie]],Tabel2[Locatiecode],Tabel2[Basisfrequentie],0,0)=Locatieoverzicht!$F$47,VLOOKUP("fe",WkDagen[],YEAR(NOW())-2020,FALSE),""))</f>
        <v/>
      </c>
    </row>
    <row r="33" spans="1:11" x14ac:dyDescent="0.2">
      <c r="A33" s="493" t="s">
        <v>256</v>
      </c>
      <c r="B33" s="492" t="s">
        <v>304</v>
      </c>
      <c r="C33" s="493">
        <v>2</v>
      </c>
      <c r="D33" s="491" t="s">
        <v>312</v>
      </c>
      <c r="E33" s="493" t="s">
        <v>269</v>
      </c>
      <c r="F33" s="493" t="s">
        <v>268</v>
      </c>
      <c r="G33" s="494">
        <v>38.799999999999997</v>
      </c>
      <c r="H33" s="495" cm="1">
        <f t="array" aca="1" ref="H3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3" s="498" t="str">
        <f ca="1">IF(Inventarisatie[[#This Row],[Freq. Ma-Vr]]=0,0,IF(ISNUMBER(SEARCH("/",_xlfn.XLOOKUP(Inventarisatie[[#This Row],[Locatie]],Tabel2[Locatiecode],Tabel2[Basisfrequentie],0,0))),VLOOKUP("za",WkDagen[],YEAR(NOW())-2020,FALSE),""))</f>
        <v/>
      </c>
      <c r="J3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3" s="498" t="str">
        <f ca="1">IF(Inventarisatie[[#This Row],[Freq. Ma-Vr]]=0,0,IF(_xlfn.XLOOKUP(Inventarisatie[[#This Row],[Locatie]],Tabel2[Locatiecode],Tabel2[Basisfrequentie],0,0)=Locatieoverzicht!$F$47,VLOOKUP("fe",WkDagen[],YEAR(NOW())-2020,FALSE),""))</f>
        <v/>
      </c>
    </row>
    <row r="34" spans="1:11" x14ac:dyDescent="0.2">
      <c r="A34" s="493" t="s">
        <v>256</v>
      </c>
      <c r="B34" s="492" t="s">
        <v>304</v>
      </c>
      <c r="C34" s="493">
        <v>3</v>
      </c>
      <c r="D34" s="491" t="s">
        <v>307</v>
      </c>
      <c r="E34" s="493" t="s">
        <v>26</v>
      </c>
      <c r="F34" s="493" t="s">
        <v>39</v>
      </c>
      <c r="G34" s="494">
        <v>38.799999999999997</v>
      </c>
      <c r="H34" s="495" cm="1">
        <f t="array" aca="1" ref="H3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4" s="498" t="str">
        <f ca="1">IF(Inventarisatie[[#This Row],[Freq. Ma-Vr]]=0,0,IF(ISNUMBER(SEARCH("/",_xlfn.XLOOKUP(Inventarisatie[[#This Row],[Locatie]],Tabel2[Locatiecode],Tabel2[Basisfrequentie],0,0))),VLOOKUP("za",WkDagen[],YEAR(NOW())-2020,FALSE),""))</f>
        <v/>
      </c>
      <c r="J3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4" s="498" t="str">
        <f ca="1">IF(Inventarisatie[[#This Row],[Freq. Ma-Vr]]=0,0,IF(_xlfn.XLOOKUP(Inventarisatie[[#This Row],[Locatie]],Tabel2[Locatiecode],Tabel2[Basisfrequentie],0,0)=Locatieoverzicht!$F$47,VLOOKUP("fe",WkDagen[],YEAR(NOW())-2020,FALSE),""))</f>
        <v/>
      </c>
    </row>
    <row r="35" spans="1:11" x14ac:dyDescent="0.2">
      <c r="A35" s="493" t="s">
        <v>256</v>
      </c>
      <c r="B35" s="492" t="s">
        <v>304</v>
      </c>
      <c r="C35" s="493">
        <v>4</v>
      </c>
      <c r="D35" s="491" t="s">
        <v>307</v>
      </c>
      <c r="E35" s="493" t="s">
        <v>26</v>
      </c>
      <c r="F35" s="493" t="s">
        <v>39</v>
      </c>
      <c r="G35" s="494">
        <v>29.5</v>
      </c>
      <c r="H35" s="495" cm="1">
        <f t="array" aca="1" ref="H3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5" s="498" t="str">
        <f ca="1">IF(Inventarisatie[[#This Row],[Freq. Ma-Vr]]=0,0,IF(ISNUMBER(SEARCH("/",_xlfn.XLOOKUP(Inventarisatie[[#This Row],[Locatie]],Tabel2[Locatiecode],Tabel2[Basisfrequentie],0,0))),VLOOKUP("za",WkDagen[],YEAR(NOW())-2020,FALSE),""))</f>
        <v/>
      </c>
      <c r="J3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5" s="498" t="str">
        <f ca="1">IF(Inventarisatie[[#This Row],[Freq. Ma-Vr]]=0,0,IF(_xlfn.XLOOKUP(Inventarisatie[[#This Row],[Locatie]],Tabel2[Locatiecode],Tabel2[Basisfrequentie],0,0)=Locatieoverzicht!$F$47,VLOOKUP("fe",WkDagen[],YEAR(NOW())-2020,FALSE),""))</f>
        <v/>
      </c>
    </row>
    <row r="36" spans="1:11" x14ac:dyDescent="0.2">
      <c r="A36" s="493" t="s">
        <v>256</v>
      </c>
      <c r="B36" s="492" t="s">
        <v>304</v>
      </c>
      <c r="C36" s="493">
        <v>5</v>
      </c>
      <c r="D36" s="491" t="s">
        <v>307</v>
      </c>
      <c r="E36" s="493" t="s">
        <v>26</v>
      </c>
      <c r="F36" s="493" t="s">
        <v>39</v>
      </c>
      <c r="G36" s="494">
        <v>39.5</v>
      </c>
      <c r="H36" s="495" cm="1">
        <f t="array" aca="1" ref="H3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6" s="498" t="str">
        <f ca="1">IF(Inventarisatie[[#This Row],[Freq. Ma-Vr]]=0,0,IF(ISNUMBER(SEARCH("/",_xlfn.XLOOKUP(Inventarisatie[[#This Row],[Locatie]],Tabel2[Locatiecode],Tabel2[Basisfrequentie],0,0))),VLOOKUP("za",WkDagen[],YEAR(NOW())-2020,FALSE),""))</f>
        <v/>
      </c>
      <c r="J3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6" s="498" t="str">
        <f ca="1">IF(Inventarisatie[[#This Row],[Freq. Ma-Vr]]=0,0,IF(_xlfn.XLOOKUP(Inventarisatie[[#This Row],[Locatie]],Tabel2[Locatiecode],Tabel2[Basisfrequentie],0,0)=Locatieoverzicht!$F$47,VLOOKUP("fe",WkDagen[],YEAR(NOW())-2020,FALSE),""))</f>
        <v/>
      </c>
    </row>
    <row r="37" spans="1:11" x14ac:dyDescent="0.2">
      <c r="A37" s="493" t="s">
        <v>256</v>
      </c>
      <c r="B37" s="492" t="s">
        <v>304</v>
      </c>
      <c r="C37" s="504">
        <v>6</v>
      </c>
      <c r="D37" s="491" t="s">
        <v>308</v>
      </c>
      <c r="E37" s="493" t="s">
        <v>47</v>
      </c>
      <c r="F37" s="493" t="s">
        <v>268</v>
      </c>
      <c r="G37" s="494">
        <v>89.3</v>
      </c>
      <c r="H37" s="495" cm="1">
        <f t="array" aca="1" ref="H3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7" s="498" t="str">
        <f ca="1">IF(Inventarisatie[[#This Row],[Freq. Ma-Vr]]=0,0,IF(ISNUMBER(SEARCH("/",_xlfn.XLOOKUP(Inventarisatie[[#This Row],[Locatie]],Tabel2[Locatiecode],Tabel2[Basisfrequentie],0,0))),VLOOKUP("za",WkDagen[],YEAR(NOW())-2020,FALSE),""))</f>
        <v/>
      </c>
      <c r="J3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7" s="498" t="str">
        <f ca="1">IF(Inventarisatie[[#This Row],[Freq. Ma-Vr]]=0,0,IF(_xlfn.XLOOKUP(Inventarisatie[[#This Row],[Locatie]],Tabel2[Locatiecode],Tabel2[Basisfrequentie],0,0)=Locatieoverzicht!$F$47,VLOOKUP("fe",WkDagen[],YEAR(NOW())-2020,FALSE),""))</f>
        <v/>
      </c>
    </row>
    <row r="38" spans="1:11" x14ac:dyDescent="0.2">
      <c r="A38" s="493" t="s">
        <v>256</v>
      </c>
      <c r="B38" s="492" t="s">
        <v>304</v>
      </c>
      <c r="C38" s="493">
        <v>7</v>
      </c>
      <c r="D38" s="491" t="s">
        <v>308</v>
      </c>
      <c r="E38" s="493" t="s">
        <v>35</v>
      </c>
      <c r="F38" s="493" t="s">
        <v>268</v>
      </c>
      <c r="G38" s="494">
        <v>5</v>
      </c>
      <c r="H38" s="495" cm="1">
        <f t="array" aca="1" ref="H3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8" s="498" t="str">
        <f ca="1">IF(Inventarisatie[[#This Row],[Freq. Ma-Vr]]=0,0,IF(ISNUMBER(SEARCH("/",_xlfn.XLOOKUP(Inventarisatie[[#This Row],[Locatie]],Tabel2[Locatiecode],Tabel2[Basisfrequentie],0,0))),VLOOKUP("za",WkDagen[],YEAR(NOW())-2020,FALSE),""))</f>
        <v/>
      </c>
      <c r="J3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8" s="498" t="str">
        <f ca="1">IF(Inventarisatie[[#This Row],[Freq. Ma-Vr]]=0,0,IF(_xlfn.XLOOKUP(Inventarisatie[[#This Row],[Locatie]],Tabel2[Locatiecode],Tabel2[Basisfrequentie],0,0)=Locatieoverzicht!$F$47,VLOOKUP("fe",WkDagen[],YEAR(NOW())-2020,FALSE),""))</f>
        <v/>
      </c>
    </row>
    <row r="39" spans="1:11" x14ac:dyDescent="0.2">
      <c r="A39" s="493" t="s">
        <v>256</v>
      </c>
      <c r="B39" s="492" t="s">
        <v>304</v>
      </c>
      <c r="C39" s="493">
        <v>8</v>
      </c>
      <c r="D39" s="491" t="s">
        <v>312</v>
      </c>
      <c r="E39" s="493" t="s">
        <v>270</v>
      </c>
      <c r="F39" s="493" t="s">
        <v>268</v>
      </c>
      <c r="G39" s="494">
        <v>8.4</v>
      </c>
      <c r="H39" s="495" cm="1">
        <f t="array" aca="1" ref="H3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9" s="498" t="str">
        <f ca="1">IF(Inventarisatie[[#This Row],[Freq. Ma-Vr]]=0,0,IF(ISNUMBER(SEARCH("/",_xlfn.XLOOKUP(Inventarisatie[[#This Row],[Locatie]],Tabel2[Locatiecode],Tabel2[Basisfrequentie],0,0))),VLOOKUP("za",WkDagen[],YEAR(NOW())-2020,FALSE),""))</f>
        <v/>
      </c>
      <c r="J3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9" s="498" t="str">
        <f ca="1">IF(Inventarisatie[[#This Row],[Freq. Ma-Vr]]=0,0,IF(_xlfn.XLOOKUP(Inventarisatie[[#This Row],[Locatie]],Tabel2[Locatiecode],Tabel2[Basisfrequentie],0,0)=Locatieoverzicht!$F$47,VLOOKUP("fe",WkDagen[],YEAR(NOW())-2020,FALSE),""))</f>
        <v/>
      </c>
    </row>
    <row r="40" spans="1:11" x14ac:dyDescent="0.2">
      <c r="A40" s="493" t="s">
        <v>256</v>
      </c>
      <c r="B40" s="492" t="s">
        <v>304</v>
      </c>
      <c r="C40" s="493">
        <v>9</v>
      </c>
      <c r="D40" s="491" t="s">
        <v>307</v>
      </c>
      <c r="E40" s="493" t="s">
        <v>26</v>
      </c>
      <c r="F40" s="493" t="s">
        <v>39</v>
      </c>
      <c r="G40" s="494">
        <v>19.2</v>
      </c>
      <c r="H40" s="495" cm="1">
        <f t="array" aca="1" ref="H4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0" s="498" t="str">
        <f ca="1">IF(Inventarisatie[[#This Row],[Freq. Ma-Vr]]=0,0,IF(ISNUMBER(SEARCH("/",_xlfn.XLOOKUP(Inventarisatie[[#This Row],[Locatie]],Tabel2[Locatiecode],Tabel2[Basisfrequentie],0,0))),VLOOKUP("za",WkDagen[],YEAR(NOW())-2020,FALSE),""))</f>
        <v/>
      </c>
      <c r="J4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0" s="498" t="str">
        <f ca="1">IF(Inventarisatie[[#This Row],[Freq. Ma-Vr]]=0,0,IF(_xlfn.XLOOKUP(Inventarisatie[[#This Row],[Locatie]],Tabel2[Locatiecode],Tabel2[Basisfrequentie],0,0)=Locatieoverzicht!$F$47,VLOOKUP("fe",WkDagen[],YEAR(NOW())-2020,FALSE),""))</f>
        <v/>
      </c>
    </row>
    <row r="41" spans="1:11" x14ac:dyDescent="0.2">
      <c r="A41" s="493" t="s">
        <v>256</v>
      </c>
      <c r="B41" s="492" t="s">
        <v>304</v>
      </c>
      <c r="C41" s="493">
        <v>10</v>
      </c>
      <c r="D41" s="491" t="s">
        <v>307</v>
      </c>
      <c r="E41" s="493" t="s">
        <v>112</v>
      </c>
      <c r="F41" s="493" t="s">
        <v>39</v>
      </c>
      <c r="G41" s="494">
        <v>19.2</v>
      </c>
      <c r="H41" s="495" cm="1">
        <f t="array" aca="1" ref="H4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1" s="498" t="str">
        <f ca="1">IF(Inventarisatie[[#This Row],[Freq. Ma-Vr]]=0,0,IF(ISNUMBER(SEARCH("/",_xlfn.XLOOKUP(Inventarisatie[[#This Row],[Locatie]],Tabel2[Locatiecode],Tabel2[Basisfrequentie],0,0))),VLOOKUP("za",WkDagen[],YEAR(NOW())-2020,FALSE),""))</f>
        <v/>
      </c>
      <c r="J4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1" s="498" t="str">
        <f ca="1">IF(Inventarisatie[[#This Row],[Freq. Ma-Vr]]=0,0,IF(_xlfn.XLOOKUP(Inventarisatie[[#This Row],[Locatie]],Tabel2[Locatiecode],Tabel2[Basisfrequentie],0,0)=Locatieoverzicht!$F$47,VLOOKUP("fe",WkDagen[],YEAR(NOW())-2020,FALSE),""))</f>
        <v/>
      </c>
    </row>
    <row r="42" spans="1:11" x14ac:dyDescent="0.2">
      <c r="A42" s="493" t="s">
        <v>256</v>
      </c>
      <c r="B42" s="492" t="s">
        <v>304</v>
      </c>
      <c r="C42" s="493">
        <v>11</v>
      </c>
      <c r="D42" s="491" t="s">
        <v>307</v>
      </c>
      <c r="E42" s="493" t="s">
        <v>112</v>
      </c>
      <c r="F42" s="493" t="s">
        <v>39</v>
      </c>
      <c r="G42" s="494">
        <v>79.8</v>
      </c>
      <c r="H42" s="495" cm="1">
        <f t="array" aca="1" ref="H4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2" s="498" t="str">
        <f ca="1">IF(Inventarisatie[[#This Row],[Freq. Ma-Vr]]=0,0,IF(ISNUMBER(SEARCH("/",_xlfn.XLOOKUP(Inventarisatie[[#This Row],[Locatie]],Tabel2[Locatiecode],Tabel2[Basisfrequentie],0,0))),VLOOKUP("za",WkDagen[],YEAR(NOW())-2020,FALSE),""))</f>
        <v/>
      </c>
      <c r="J4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2" s="498" t="str">
        <f ca="1">IF(Inventarisatie[[#This Row],[Freq. Ma-Vr]]=0,0,IF(_xlfn.XLOOKUP(Inventarisatie[[#This Row],[Locatie]],Tabel2[Locatiecode],Tabel2[Basisfrequentie],0,0)=Locatieoverzicht!$F$47,VLOOKUP("fe",WkDagen[],YEAR(NOW())-2020,FALSE),""))</f>
        <v/>
      </c>
    </row>
    <row r="43" spans="1:11" x14ac:dyDescent="0.2">
      <c r="A43" s="493" t="s">
        <v>256</v>
      </c>
      <c r="B43" s="492" t="s">
        <v>304</v>
      </c>
      <c r="C43" s="493">
        <v>12</v>
      </c>
      <c r="D43" s="491" t="s">
        <v>312</v>
      </c>
      <c r="E43" s="493" t="s">
        <v>41</v>
      </c>
      <c r="F43" s="493" t="s">
        <v>268</v>
      </c>
      <c r="G43" s="494">
        <v>60.3</v>
      </c>
      <c r="H43" s="495" cm="1">
        <f t="array" aca="1" ref="H4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3" s="498" t="str">
        <f ca="1">IF(Inventarisatie[[#This Row],[Freq. Ma-Vr]]=0,0,IF(ISNUMBER(SEARCH("/",_xlfn.XLOOKUP(Inventarisatie[[#This Row],[Locatie]],Tabel2[Locatiecode],Tabel2[Basisfrequentie],0,0))),VLOOKUP("za",WkDagen[],YEAR(NOW())-2020,FALSE),""))</f>
        <v/>
      </c>
      <c r="J4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3" s="498" t="str">
        <f ca="1">IF(Inventarisatie[[#This Row],[Freq. Ma-Vr]]=0,0,IF(_xlfn.XLOOKUP(Inventarisatie[[#This Row],[Locatie]],Tabel2[Locatiecode],Tabel2[Basisfrequentie],0,0)=Locatieoverzicht!$F$47,VLOOKUP("fe",WkDagen[],YEAR(NOW())-2020,FALSE),""))</f>
        <v/>
      </c>
    </row>
    <row r="44" spans="1:11" x14ac:dyDescent="0.2">
      <c r="A44" s="493" t="s">
        <v>256</v>
      </c>
      <c r="B44" s="492" t="s">
        <v>304</v>
      </c>
      <c r="C44" s="493">
        <v>13</v>
      </c>
      <c r="D44" s="491" t="s">
        <v>311</v>
      </c>
      <c r="E44" s="493" t="s">
        <v>271</v>
      </c>
      <c r="F44" s="493" t="s">
        <v>17</v>
      </c>
      <c r="G44" s="494">
        <v>6.8</v>
      </c>
      <c r="H44" s="495" cm="1">
        <f t="array" aca="1" ref="H4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4" s="498" t="str">
        <f ca="1">IF(Inventarisatie[[#This Row],[Freq. Ma-Vr]]=0,0,IF(ISNUMBER(SEARCH("/",_xlfn.XLOOKUP(Inventarisatie[[#This Row],[Locatie]],Tabel2[Locatiecode],Tabel2[Basisfrequentie],0,0))),VLOOKUP("za",WkDagen[],YEAR(NOW())-2020,FALSE),""))</f>
        <v/>
      </c>
      <c r="J4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4" s="498" t="str">
        <f ca="1">IF(Inventarisatie[[#This Row],[Freq. Ma-Vr]]=0,0,IF(_xlfn.XLOOKUP(Inventarisatie[[#This Row],[Locatie]],Tabel2[Locatiecode],Tabel2[Basisfrequentie],0,0)=Locatieoverzicht!$F$47,VLOOKUP("fe",WkDagen[],YEAR(NOW())-2020,FALSE),""))</f>
        <v/>
      </c>
    </row>
    <row r="45" spans="1:11" x14ac:dyDescent="0.2">
      <c r="A45" s="493" t="s">
        <v>256</v>
      </c>
      <c r="B45" s="492" t="s">
        <v>304</v>
      </c>
      <c r="C45" s="493">
        <v>14</v>
      </c>
      <c r="D45" s="491" t="s">
        <v>311</v>
      </c>
      <c r="E45" s="493" t="s">
        <v>271</v>
      </c>
      <c r="F45" s="493" t="s">
        <v>17</v>
      </c>
      <c r="G45" s="494">
        <v>6.1</v>
      </c>
      <c r="H45" s="495" cm="1">
        <f t="array" aca="1" ref="H4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5" s="498" t="str">
        <f ca="1">IF(Inventarisatie[[#This Row],[Freq. Ma-Vr]]=0,0,IF(ISNUMBER(SEARCH("/",_xlfn.XLOOKUP(Inventarisatie[[#This Row],[Locatie]],Tabel2[Locatiecode],Tabel2[Basisfrequentie],0,0))),VLOOKUP("za",WkDagen[],YEAR(NOW())-2020,FALSE),""))</f>
        <v/>
      </c>
      <c r="J4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5" s="498" t="str">
        <f ca="1">IF(Inventarisatie[[#This Row],[Freq. Ma-Vr]]=0,0,IF(_xlfn.XLOOKUP(Inventarisatie[[#This Row],[Locatie]],Tabel2[Locatiecode],Tabel2[Basisfrequentie],0,0)=Locatieoverzicht!$F$47,VLOOKUP("fe",WkDagen[],YEAR(NOW())-2020,FALSE),""))</f>
        <v/>
      </c>
    </row>
    <row r="46" spans="1:11" x14ac:dyDescent="0.2">
      <c r="A46" s="493" t="s">
        <v>256</v>
      </c>
      <c r="B46" s="492" t="s">
        <v>304</v>
      </c>
      <c r="C46" s="493">
        <v>15</v>
      </c>
      <c r="D46" s="491" t="s">
        <v>312</v>
      </c>
      <c r="E46" s="493" t="s">
        <v>272</v>
      </c>
      <c r="F46" s="493" t="s">
        <v>137</v>
      </c>
      <c r="G46" s="494">
        <v>16.5</v>
      </c>
      <c r="H46" s="495" cm="1">
        <f t="array" aca="1" ref="H4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6" s="498" t="str">
        <f ca="1">IF(Inventarisatie[[#This Row],[Freq. Ma-Vr]]=0,0,IF(ISNUMBER(SEARCH("/",_xlfn.XLOOKUP(Inventarisatie[[#This Row],[Locatie]],Tabel2[Locatiecode],Tabel2[Basisfrequentie],0,0))),VLOOKUP("za",WkDagen[],YEAR(NOW())-2020,FALSE),""))</f>
        <v/>
      </c>
      <c r="J4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6" s="498" t="str">
        <f ca="1">IF(Inventarisatie[[#This Row],[Freq. Ma-Vr]]=0,0,IF(_xlfn.XLOOKUP(Inventarisatie[[#This Row],[Locatie]],Tabel2[Locatiecode],Tabel2[Basisfrequentie],0,0)=Locatieoverzicht!$F$47,VLOOKUP("fe",WkDagen[],YEAR(NOW())-2020,FALSE),""))</f>
        <v/>
      </c>
    </row>
    <row r="47" spans="1:11" x14ac:dyDescent="0.2">
      <c r="A47" s="501" t="s">
        <v>36</v>
      </c>
      <c r="B47" s="492" t="s">
        <v>301</v>
      </c>
      <c r="C47" s="501">
        <v>1</v>
      </c>
      <c r="D47" s="491" t="s">
        <v>312</v>
      </c>
      <c r="E47" s="501" t="s">
        <v>37</v>
      </c>
      <c r="F47" s="502" t="s">
        <v>38</v>
      </c>
      <c r="G47" s="494">
        <v>10.3</v>
      </c>
      <c r="H47" s="495" cm="1">
        <f t="array" aca="1" ref="H4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7" s="498" t="str">
        <f ca="1">IF(Inventarisatie[[#This Row],[Freq. Ma-Vr]]=0,0,IF(ISNUMBER(SEARCH("/",_xlfn.XLOOKUP(Inventarisatie[[#This Row],[Locatie]],Tabel2[Locatiecode],Tabel2[Basisfrequentie],0,0))),VLOOKUP("za",WkDagen[],YEAR(NOW())-2020,FALSE),""))</f>
        <v/>
      </c>
      <c r="J4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7" s="498" t="str">
        <f ca="1">IF(Inventarisatie[[#This Row],[Freq. Ma-Vr]]=0,0,IF(_xlfn.XLOOKUP(Inventarisatie[[#This Row],[Locatie]],Tabel2[Locatiecode],Tabel2[Basisfrequentie],0,0)=Locatieoverzicht!$F$47,VLOOKUP("fe",WkDagen[],YEAR(NOW())-2020,FALSE),""))</f>
        <v/>
      </c>
    </row>
    <row r="48" spans="1:11" x14ac:dyDescent="0.2">
      <c r="A48" s="501" t="s">
        <v>36</v>
      </c>
      <c r="B48" s="492" t="s">
        <v>301</v>
      </c>
      <c r="C48" s="501">
        <v>2</v>
      </c>
      <c r="D48" s="491" t="s">
        <v>310</v>
      </c>
      <c r="E48" s="501" t="s">
        <v>19</v>
      </c>
      <c r="F48" s="502" t="s">
        <v>39</v>
      </c>
      <c r="G48" s="494">
        <v>34.299999999999997</v>
      </c>
      <c r="H48" s="495" cm="1">
        <f t="array" aca="1" ref="H4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8" s="498" t="str">
        <f ca="1">IF(Inventarisatie[[#This Row],[Freq. Ma-Vr]]=0,0,IF(ISNUMBER(SEARCH("/",_xlfn.XLOOKUP(Inventarisatie[[#This Row],[Locatie]],Tabel2[Locatiecode],Tabel2[Basisfrequentie],0,0))),VLOOKUP("za",WkDagen[],YEAR(NOW())-2020,FALSE),""))</f>
        <v/>
      </c>
      <c r="J4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8" s="498" t="str">
        <f ca="1">IF(Inventarisatie[[#This Row],[Freq. Ma-Vr]]=0,0,IF(_xlfn.XLOOKUP(Inventarisatie[[#This Row],[Locatie]],Tabel2[Locatiecode],Tabel2[Basisfrequentie],0,0)=Locatieoverzicht!$F$47,VLOOKUP("fe",WkDagen[],YEAR(NOW())-2020,FALSE),""))</f>
        <v/>
      </c>
    </row>
    <row r="49" spans="1:11" x14ac:dyDescent="0.2">
      <c r="A49" s="501" t="s">
        <v>36</v>
      </c>
      <c r="B49" s="492" t="s">
        <v>301</v>
      </c>
      <c r="C49" s="501">
        <v>3</v>
      </c>
      <c r="D49" s="491" t="s">
        <v>307</v>
      </c>
      <c r="E49" s="501" t="s">
        <v>40</v>
      </c>
      <c r="F49" s="502" t="s">
        <v>39</v>
      </c>
      <c r="G49" s="494">
        <v>44.7</v>
      </c>
      <c r="H49" s="495" cm="1">
        <f t="array" aca="1" ref="H4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9" s="498" t="str">
        <f ca="1">IF(Inventarisatie[[#This Row],[Freq. Ma-Vr]]=0,0,IF(ISNUMBER(SEARCH("/",_xlfn.XLOOKUP(Inventarisatie[[#This Row],[Locatie]],Tabel2[Locatiecode],Tabel2[Basisfrequentie],0,0))),VLOOKUP("za",WkDagen[],YEAR(NOW())-2020,FALSE),""))</f>
        <v/>
      </c>
      <c r="J4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9" s="498" t="str">
        <f ca="1">IF(Inventarisatie[[#This Row],[Freq. Ma-Vr]]=0,0,IF(_xlfn.XLOOKUP(Inventarisatie[[#This Row],[Locatie]],Tabel2[Locatiecode],Tabel2[Basisfrequentie],0,0)=Locatieoverzicht!$F$47,VLOOKUP("fe",WkDagen[],YEAR(NOW())-2020,FALSE),""))</f>
        <v/>
      </c>
    </row>
    <row r="50" spans="1:11" x14ac:dyDescent="0.2">
      <c r="A50" s="501" t="s">
        <v>36</v>
      </c>
      <c r="B50" s="492" t="s">
        <v>301</v>
      </c>
      <c r="C50" s="501">
        <v>4</v>
      </c>
      <c r="D50" s="491" t="s">
        <v>310</v>
      </c>
      <c r="E50" s="501" t="s">
        <v>34</v>
      </c>
      <c r="F50" s="502" t="s">
        <v>39</v>
      </c>
      <c r="G50" s="494">
        <v>5.5</v>
      </c>
      <c r="H50" s="495" cm="1">
        <f t="array" aca="1" ref="H5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0" s="498" t="str">
        <f ca="1">IF(Inventarisatie[[#This Row],[Freq. Ma-Vr]]=0,0,IF(ISNUMBER(SEARCH("/",_xlfn.XLOOKUP(Inventarisatie[[#This Row],[Locatie]],Tabel2[Locatiecode],Tabel2[Basisfrequentie],0,0))),VLOOKUP("za",WkDagen[],YEAR(NOW())-2020,FALSE),""))</f>
        <v/>
      </c>
      <c r="J5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50" s="498" t="str">
        <f ca="1">IF(Inventarisatie[[#This Row],[Freq. Ma-Vr]]=0,0,IF(_xlfn.XLOOKUP(Inventarisatie[[#This Row],[Locatie]],Tabel2[Locatiecode],Tabel2[Basisfrequentie],0,0)=Locatieoverzicht!$F$47,VLOOKUP("fe",WkDagen[],YEAR(NOW())-2020,FALSE),""))</f>
        <v/>
      </c>
    </row>
    <row r="51" spans="1:11" x14ac:dyDescent="0.2">
      <c r="A51" s="501" t="s">
        <v>36</v>
      </c>
      <c r="B51" s="492" t="s">
        <v>301</v>
      </c>
      <c r="C51" s="501">
        <v>5</v>
      </c>
      <c r="D51" s="491" t="s">
        <v>312</v>
      </c>
      <c r="E51" s="501" t="s">
        <v>41</v>
      </c>
      <c r="F51" s="502" t="s">
        <v>39</v>
      </c>
      <c r="G51" s="494">
        <v>25.2</v>
      </c>
      <c r="H51" s="495" cm="1">
        <f t="array" aca="1" ref="H5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1" s="498" t="str">
        <f ca="1">IF(Inventarisatie[[#This Row],[Freq. Ma-Vr]]=0,0,IF(ISNUMBER(SEARCH("/",_xlfn.XLOOKUP(Inventarisatie[[#This Row],[Locatie]],Tabel2[Locatiecode],Tabel2[Basisfrequentie],0,0))),VLOOKUP("za",WkDagen[],YEAR(NOW())-2020,FALSE),""))</f>
        <v/>
      </c>
      <c r="J5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51" s="498" t="str">
        <f ca="1">IF(Inventarisatie[[#This Row],[Freq. Ma-Vr]]=0,0,IF(_xlfn.XLOOKUP(Inventarisatie[[#This Row],[Locatie]],Tabel2[Locatiecode],Tabel2[Basisfrequentie],0,0)=Locatieoverzicht!$F$47,VLOOKUP("fe",WkDagen[],YEAR(NOW())-2020,FALSE),""))</f>
        <v/>
      </c>
    </row>
    <row r="52" spans="1:11" x14ac:dyDescent="0.2">
      <c r="A52" s="501" t="s">
        <v>36</v>
      </c>
      <c r="B52" s="492" t="s">
        <v>301</v>
      </c>
      <c r="C52" s="501">
        <v>6</v>
      </c>
      <c r="D52" s="491" t="s">
        <v>310</v>
      </c>
      <c r="E52" s="501" t="s">
        <v>34</v>
      </c>
      <c r="F52" s="502" t="s">
        <v>39</v>
      </c>
      <c r="G52" s="494">
        <v>32</v>
      </c>
      <c r="H52" s="495" cm="1">
        <f t="array" aca="1" ref="H5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2" s="498" t="str">
        <f ca="1">IF(Inventarisatie[[#This Row],[Freq. Ma-Vr]]=0,0,IF(ISNUMBER(SEARCH("/",_xlfn.XLOOKUP(Inventarisatie[[#This Row],[Locatie]],Tabel2[Locatiecode],Tabel2[Basisfrequentie],0,0))),VLOOKUP("za",WkDagen[],YEAR(NOW())-2020,FALSE),""))</f>
        <v/>
      </c>
      <c r="J5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52" s="498" t="str">
        <f ca="1">IF(Inventarisatie[[#This Row],[Freq. Ma-Vr]]=0,0,IF(_xlfn.XLOOKUP(Inventarisatie[[#This Row],[Locatie]],Tabel2[Locatiecode],Tabel2[Basisfrequentie],0,0)=Locatieoverzicht!$F$47,VLOOKUP("fe",WkDagen[],YEAR(NOW())-2020,FALSE),""))</f>
        <v/>
      </c>
    </row>
    <row r="53" spans="1:11" x14ac:dyDescent="0.2">
      <c r="A53" s="501" t="s">
        <v>36</v>
      </c>
      <c r="B53" s="492" t="s">
        <v>301</v>
      </c>
      <c r="C53" s="501">
        <v>7</v>
      </c>
      <c r="D53" s="491" t="s">
        <v>310</v>
      </c>
      <c r="E53" s="501" t="s">
        <v>34</v>
      </c>
      <c r="F53" s="502" t="s">
        <v>39</v>
      </c>
      <c r="G53" s="494">
        <v>13.5</v>
      </c>
      <c r="H53" s="495" cm="1">
        <f t="array" aca="1" ref="H5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3" s="498" t="str">
        <f ca="1">IF(Inventarisatie[[#This Row],[Freq. Ma-Vr]]=0,0,IF(ISNUMBER(SEARCH("/",_xlfn.XLOOKUP(Inventarisatie[[#This Row],[Locatie]],Tabel2[Locatiecode],Tabel2[Basisfrequentie],0,0))),VLOOKUP("za",WkDagen[],YEAR(NOW())-2020,FALSE),""))</f>
        <v/>
      </c>
      <c r="J5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53" s="498" t="str">
        <f ca="1">IF(Inventarisatie[[#This Row],[Freq. Ma-Vr]]=0,0,IF(_xlfn.XLOOKUP(Inventarisatie[[#This Row],[Locatie]],Tabel2[Locatiecode],Tabel2[Basisfrequentie],0,0)=Locatieoverzicht!$F$47,VLOOKUP("fe",WkDagen[],YEAR(NOW())-2020,FALSE),""))</f>
        <v/>
      </c>
    </row>
    <row r="54" spans="1:11" x14ac:dyDescent="0.2">
      <c r="A54" s="501" t="s">
        <v>36</v>
      </c>
      <c r="B54" s="492" t="s">
        <v>301</v>
      </c>
      <c r="C54" s="501">
        <v>8</v>
      </c>
      <c r="D54" s="491" t="s">
        <v>310</v>
      </c>
      <c r="E54" s="501" t="s">
        <v>34</v>
      </c>
      <c r="F54" s="502" t="s">
        <v>39</v>
      </c>
      <c r="G54" s="494">
        <v>18.399999999999999</v>
      </c>
      <c r="H54" s="495" cm="1">
        <f t="array" aca="1" ref="H5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4" s="498" t="str">
        <f ca="1">IF(Inventarisatie[[#This Row],[Freq. Ma-Vr]]=0,0,IF(ISNUMBER(SEARCH("/",_xlfn.XLOOKUP(Inventarisatie[[#This Row],[Locatie]],Tabel2[Locatiecode],Tabel2[Basisfrequentie],0,0))),VLOOKUP("za",WkDagen[],YEAR(NOW())-2020,FALSE),""))</f>
        <v/>
      </c>
      <c r="J5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54" s="498" t="str">
        <f ca="1">IF(Inventarisatie[[#This Row],[Freq. Ma-Vr]]=0,0,IF(_xlfn.XLOOKUP(Inventarisatie[[#This Row],[Locatie]],Tabel2[Locatiecode],Tabel2[Basisfrequentie],0,0)=Locatieoverzicht!$F$47,VLOOKUP("fe",WkDagen[],YEAR(NOW())-2020,FALSE),""))</f>
        <v/>
      </c>
    </row>
    <row r="55" spans="1:11" x14ac:dyDescent="0.2">
      <c r="A55" s="501" t="s">
        <v>36</v>
      </c>
      <c r="B55" s="492" t="s">
        <v>301</v>
      </c>
      <c r="C55" s="501">
        <v>15</v>
      </c>
      <c r="D55" s="491" t="s">
        <v>311</v>
      </c>
      <c r="E55" s="501" t="s">
        <v>16</v>
      </c>
      <c r="F55" s="502" t="s">
        <v>42</v>
      </c>
      <c r="G55" s="494">
        <v>3.1</v>
      </c>
      <c r="H55" s="495" cm="1">
        <f t="array" aca="1" ref="H5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5" s="498" t="str">
        <f ca="1">IF(Inventarisatie[[#This Row],[Freq. Ma-Vr]]=0,0,IF(ISNUMBER(SEARCH("/",_xlfn.XLOOKUP(Inventarisatie[[#This Row],[Locatie]],Tabel2[Locatiecode],Tabel2[Basisfrequentie],0,0))),VLOOKUP("za",WkDagen[],YEAR(NOW())-2020,FALSE),""))</f>
        <v/>
      </c>
      <c r="J5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55" s="498" t="str">
        <f ca="1">IF(Inventarisatie[[#This Row],[Freq. Ma-Vr]]=0,0,IF(_xlfn.XLOOKUP(Inventarisatie[[#This Row],[Locatie]],Tabel2[Locatiecode],Tabel2[Basisfrequentie],0,0)=Locatieoverzicht!$F$47,VLOOKUP("fe",WkDagen[],YEAR(NOW())-2020,FALSE),""))</f>
        <v/>
      </c>
    </row>
    <row r="56" spans="1:11" x14ac:dyDescent="0.2">
      <c r="A56" s="501" t="s">
        <v>36</v>
      </c>
      <c r="B56" s="492" t="s">
        <v>301</v>
      </c>
      <c r="C56" s="501">
        <v>16</v>
      </c>
      <c r="D56" s="491" t="s">
        <v>311</v>
      </c>
      <c r="E56" s="501" t="s">
        <v>16</v>
      </c>
      <c r="F56" s="502" t="s">
        <v>42</v>
      </c>
      <c r="G56" s="494">
        <v>3.1</v>
      </c>
      <c r="H56" s="495" cm="1">
        <f t="array" aca="1" ref="H5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6" s="498" t="str">
        <f ca="1">IF(Inventarisatie[[#This Row],[Freq. Ma-Vr]]=0,0,IF(ISNUMBER(SEARCH("/",_xlfn.XLOOKUP(Inventarisatie[[#This Row],[Locatie]],Tabel2[Locatiecode],Tabel2[Basisfrequentie],0,0))),VLOOKUP("za",WkDagen[],YEAR(NOW())-2020,FALSE),""))</f>
        <v/>
      </c>
      <c r="J5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56" s="498" t="str">
        <f ca="1">IF(Inventarisatie[[#This Row],[Freq. Ma-Vr]]=0,0,IF(_xlfn.XLOOKUP(Inventarisatie[[#This Row],[Locatie]],Tabel2[Locatiecode],Tabel2[Basisfrequentie],0,0)=Locatieoverzicht!$F$47,VLOOKUP("fe",WkDagen[],YEAR(NOW())-2020,FALSE),""))</f>
        <v/>
      </c>
    </row>
    <row r="57" spans="1:11" x14ac:dyDescent="0.2">
      <c r="A57" s="501" t="s">
        <v>36</v>
      </c>
      <c r="B57" s="492" t="s">
        <v>301</v>
      </c>
      <c r="C57" s="501">
        <v>9</v>
      </c>
      <c r="D57" s="491" t="s">
        <v>307</v>
      </c>
      <c r="E57" s="501" t="s">
        <v>26</v>
      </c>
      <c r="F57" s="502" t="s">
        <v>39</v>
      </c>
      <c r="G57" s="494">
        <v>18.399999999999999</v>
      </c>
      <c r="H57" s="495" cm="1">
        <f t="array" aca="1" ref="H5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7" s="498" t="str">
        <f ca="1">IF(Inventarisatie[[#This Row],[Freq. Ma-Vr]]=0,0,IF(ISNUMBER(SEARCH("/",_xlfn.XLOOKUP(Inventarisatie[[#This Row],[Locatie]],Tabel2[Locatiecode],Tabel2[Basisfrequentie],0,0))),VLOOKUP("za",WkDagen[],YEAR(NOW())-2020,FALSE),""))</f>
        <v/>
      </c>
      <c r="J5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57" s="498" t="str">
        <f ca="1">IF(Inventarisatie[[#This Row],[Freq. Ma-Vr]]=0,0,IF(_xlfn.XLOOKUP(Inventarisatie[[#This Row],[Locatie]],Tabel2[Locatiecode],Tabel2[Basisfrequentie],0,0)=Locatieoverzicht!$F$47,VLOOKUP("fe",WkDagen[],YEAR(NOW())-2020,FALSE),""))</f>
        <v/>
      </c>
    </row>
    <row r="58" spans="1:11" x14ac:dyDescent="0.2">
      <c r="A58" s="501" t="s">
        <v>36</v>
      </c>
      <c r="B58" s="492" t="s">
        <v>301</v>
      </c>
      <c r="C58" s="501">
        <v>10</v>
      </c>
      <c r="D58" s="491" t="s">
        <v>307</v>
      </c>
      <c r="E58" s="501" t="s">
        <v>26</v>
      </c>
      <c r="F58" s="502" t="s">
        <v>39</v>
      </c>
      <c r="G58" s="494">
        <v>46</v>
      </c>
      <c r="H58" s="495" cm="1">
        <f t="array" aca="1" ref="H5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8" s="498" t="str">
        <f ca="1">IF(Inventarisatie[[#This Row],[Freq. Ma-Vr]]=0,0,IF(ISNUMBER(SEARCH("/",_xlfn.XLOOKUP(Inventarisatie[[#This Row],[Locatie]],Tabel2[Locatiecode],Tabel2[Basisfrequentie],0,0))),VLOOKUP("za",WkDagen[],YEAR(NOW())-2020,FALSE),""))</f>
        <v/>
      </c>
      <c r="J5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58" s="498" t="str">
        <f ca="1">IF(Inventarisatie[[#This Row],[Freq. Ma-Vr]]=0,0,IF(_xlfn.XLOOKUP(Inventarisatie[[#This Row],[Locatie]],Tabel2[Locatiecode],Tabel2[Basisfrequentie],0,0)=Locatieoverzicht!$F$47,VLOOKUP("fe",WkDagen[],YEAR(NOW())-2020,FALSE),""))</f>
        <v/>
      </c>
    </row>
    <row r="59" spans="1:11" x14ac:dyDescent="0.2">
      <c r="A59" s="501" t="s">
        <v>36</v>
      </c>
      <c r="B59" s="492" t="s">
        <v>301</v>
      </c>
      <c r="C59" s="501">
        <v>11</v>
      </c>
      <c r="D59" s="491" t="s">
        <v>307</v>
      </c>
      <c r="E59" s="501" t="s">
        <v>26</v>
      </c>
      <c r="F59" s="502" t="s">
        <v>39</v>
      </c>
      <c r="G59" s="494">
        <v>86.6</v>
      </c>
      <c r="H59" s="495" cm="1">
        <f t="array" aca="1" ref="H5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9" s="498" t="str">
        <f ca="1">IF(Inventarisatie[[#This Row],[Freq. Ma-Vr]]=0,0,IF(ISNUMBER(SEARCH("/",_xlfn.XLOOKUP(Inventarisatie[[#This Row],[Locatie]],Tabel2[Locatiecode],Tabel2[Basisfrequentie],0,0))),VLOOKUP("za",WkDagen[],YEAR(NOW())-2020,FALSE),""))</f>
        <v/>
      </c>
      <c r="J5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59" s="498" t="str">
        <f ca="1">IF(Inventarisatie[[#This Row],[Freq. Ma-Vr]]=0,0,IF(_xlfn.XLOOKUP(Inventarisatie[[#This Row],[Locatie]],Tabel2[Locatiecode],Tabel2[Basisfrequentie],0,0)=Locatieoverzicht!$F$47,VLOOKUP("fe",WkDagen[],YEAR(NOW())-2020,FALSE),""))</f>
        <v/>
      </c>
    </row>
    <row r="60" spans="1:11" x14ac:dyDescent="0.2">
      <c r="A60" s="501" t="s">
        <v>36</v>
      </c>
      <c r="B60" s="492" t="s">
        <v>301</v>
      </c>
      <c r="C60" s="501">
        <v>12</v>
      </c>
      <c r="D60" s="491" t="s">
        <v>312</v>
      </c>
      <c r="E60" s="501" t="s">
        <v>41</v>
      </c>
      <c r="F60" s="502" t="s">
        <v>39</v>
      </c>
      <c r="G60" s="494">
        <v>22</v>
      </c>
      <c r="H60" s="495" cm="1">
        <f t="array" aca="1" ref="H6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60" s="498" t="str">
        <f ca="1">IF(Inventarisatie[[#This Row],[Freq. Ma-Vr]]=0,0,IF(ISNUMBER(SEARCH("/",_xlfn.XLOOKUP(Inventarisatie[[#This Row],[Locatie]],Tabel2[Locatiecode],Tabel2[Basisfrequentie],0,0))),VLOOKUP("za",WkDagen[],YEAR(NOW())-2020,FALSE),""))</f>
        <v/>
      </c>
      <c r="J6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60" s="498" t="str">
        <f ca="1">IF(Inventarisatie[[#This Row],[Freq. Ma-Vr]]=0,0,IF(_xlfn.XLOOKUP(Inventarisatie[[#This Row],[Locatie]],Tabel2[Locatiecode],Tabel2[Basisfrequentie],0,0)=Locatieoverzicht!$F$47,VLOOKUP("fe",WkDagen[],YEAR(NOW())-2020,FALSE),""))</f>
        <v/>
      </c>
    </row>
    <row r="61" spans="1:11" x14ac:dyDescent="0.2">
      <c r="A61" s="501" t="s">
        <v>36</v>
      </c>
      <c r="B61" s="492" t="s">
        <v>301</v>
      </c>
      <c r="C61" s="501">
        <v>13</v>
      </c>
      <c r="D61" s="491" t="s">
        <v>310</v>
      </c>
      <c r="E61" s="501" t="s">
        <v>34</v>
      </c>
      <c r="F61" s="502" t="s">
        <v>39</v>
      </c>
      <c r="G61" s="494">
        <v>46.3</v>
      </c>
      <c r="H61" s="495" cm="1">
        <f t="array" aca="1" ref="H6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61" s="498" t="str">
        <f ca="1">IF(Inventarisatie[[#This Row],[Freq. Ma-Vr]]=0,0,IF(ISNUMBER(SEARCH("/",_xlfn.XLOOKUP(Inventarisatie[[#This Row],[Locatie]],Tabel2[Locatiecode],Tabel2[Basisfrequentie],0,0))),VLOOKUP("za",WkDagen[],YEAR(NOW())-2020,FALSE),""))</f>
        <v/>
      </c>
      <c r="J6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61" s="498" t="str">
        <f ca="1">IF(Inventarisatie[[#This Row],[Freq. Ma-Vr]]=0,0,IF(_xlfn.XLOOKUP(Inventarisatie[[#This Row],[Locatie]],Tabel2[Locatiecode],Tabel2[Basisfrequentie],0,0)=Locatieoverzicht!$F$47,VLOOKUP("fe",WkDagen[],YEAR(NOW())-2020,FALSE),""))</f>
        <v/>
      </c>
    </row>
    <row r="62" spans="1:11" x14ac:dyDescent="0.2">
      <c r="A62" s="501" t="s">
        <v>36</v>
      </c>
      <c r="B62" s="492" t="s">
        <v>301</v>
      </c>
      <c r="C62" s="501">
        <v>14</v>
      </c>
      <c r="D62" s="491" t="s">
        <v>308</v>
      </c>
      <c r="E62" s="501" t="s">
        <v>35</v>
      </c>
      <c r="F62" s="502" t="s">
        <v>6</v>
      </c>
      <c r="G62" s="494">
        <v>16.5</v>
      </c>
      <c r="H62" s="495" cm="1">
        <f t="array" aca="1" ref="H6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62" s="498" t="str">
        <f ca="1">IF(Inventarisatie[[#This Row],[Freq. Ma-Vr]]=0,0,IF(ISNUMBER(SEARCH("/",_xlfn.XLOOKUP(Inventarisatie[[#This Row],[Locatie]],Tabel2[Locatiecode],Tabel2[Basisfrequentie],0,0))),VLOOKUP("za",WkDagen[],YEAR(NOW())-2020,FALSE),""))</f>
        <v/>
      </c>
      <c r="J6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62" s="498" t="str">
        <f ca="1">IF(Inventarisatie[[#This Row],[Freq. Ma-Vr]]=0,0,IF(_xlfn.XLOOKUP(Inventarisatie[[#This Row],[Locatie]],Tabel2[Locatiecode],Tabel2[Basisfrequentie],0,0)=Locatieoverzicht!$F$47,VLOOKUP("fe",WkDagen[],YEAR(NOW())-2020,FALSE),""))</f>
        <v/>
      </c>
    </row>
    <row r="63" spans="1:11" x14ac:dyDescent="0.2">
      <c r="A63" s="501" t="s">
        <v>36</v>
      </c>
      <c r="B63" s="492" t="s">
        <v>301</v>
      </c>
      <c r="C63" s="501">
        <v>17</v>
      </c>
      <c r="D63" s="491" t="s">
        <v>312</v>
      </c>
      <c r="E63" s="501" t="s">
        <v>37</v>
      </c>
      <c r="F63" s="502" t="s">
        <v>38</v>
      </c>
      <c r="G63" s="494">
        <v>12.3</v>
      </c>
      <c r="H63" s="495" cm="1">
        <f t="array" aca="1" ref="H6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63" s="498" t="str">
        <f ca="1">IF(Inventarisatie[[#This Row],[Freq. Ma-Vr]]=0,0,IF(ISNUMBER(SEARCH("/",_xlfn.XLOOKUP(Inventarisatie[[#This Row],[Locatie]],Tabel2[Locatiecode],Tabel2[Basisfrequentie],0,0))),VLOOKUP("za",WkDagen[],YEAR(NOW())-2020,FALSE),""))</f>
        <v/>
      </c>
      <c r="J6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63" s="498" t="str">
        <f ca="1">IF(Inventarisatie[[#This Row],[Freq. Ma-Vr]]=0,0,IF(_xlfn.XLOOKUP(Inventarisatie[[#This Row],[Locatie]],Tabel2[Locatiecode],Tabel2[Basisfrequentie],0,0)=Locatieoverzicht!$F$47,VLOOKUP("fe",WkDagen[],YEAR(NOW())-2020,FALSE),""))</f>
        <v/>
      </c>
    </row>
    <row r="64" spans="1:11" x14ac:dyDescent="0.2">
      <c r="A64" s="501" t="s">
        <v>36</v>
      </c>
      <c r="B64" s="492" t="s">
        <v>301</v>
      </c>
      <c r="C64" s="501">
        <v>18</v>
      </c>
      <c r="D64" s="491" t="s">
        <v>307</v>
      </c>
      <c r="E64" s="501" t="s">
        <v>40</v>
      </c>
      <c r="F64" s="502" t="s">
        <v>39</v>
      </c>
      <c r="G64" s="494">
        <v>20.2</v>
      </c>
      <c r="H64" s="495" cm="1">
        <f t="array" aca="1" ref="H6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64" s="498" t="str">
        <f ca="1">IF(Inventarisatie[[#This Row],[Freq. Ma-Vr]]=0,0,IF(ISNUMBER(SEARCH("/",_xlfn.XLOOKUP(Inventarisatie[[#This Row],[Locatie]],Tabel2[Locatiecode],Tabel2[Basisfrequentie],0,0))),VLOOKUP("za",WkDagen[],YEAR(NOW())-2020,FALSE),""))</f>
        <v/>
      </c>
      <c r="J6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64" s="498" t="str">
        <f ca="1">IF(Inventarisatie[[#This Row],[Freq. Ma-Vr]]=0,0,IF(_xlfn.XLOOKUP(Inventarisatie[[#This Row],[Locatie]],Tabel2[Locatiecode],Tabel2[Basisfrequentie],0,0)=Locatieoverzicht!$F$47,VLOOKUP("fe",WkDagen[],YEAR(NOW())-2020,FALSE),""))</f>
        <v/>
      </c>
    </row>
    <row r="65" spans="1:11" x14ac:dyDescent="0.2">
      <c r="A65" s="501" t="s">
        <v>36</v>
      </c>
      <c r="B65" s="492" t="s">
        <v>301</v>
      </c>
      <c r="C65" s="501">
        <v>19</v>
      </c>
      <c r="D65" s="491" t="s">
        <v>310</v>
      </c>
      <c r="E65" s="501" t="s">
        <v>19</v>
      </c>
      <c r="F65" s="502" t="s">
        <v>17</v>
      </c>
      <c r="G65" s="494">
        <v>46</v>
      </c>
      <c r="H65" s="495" cm="1">
        <f t="array" aca="1" ref="H6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65" s="498" t="str">
        <f ca="1">IF(Inventarisatie[[#This Row],[Freq. Ma-Vr]]=0,0,IF(ISNUMBER(SEARCH("/",_xlfn.XLOOKUP(Inventarisatie[[#This Row],[Locatie]],Tabel2[Locatiecode],Tabel2[Basisfrequentie],0,0))),VLOOKUP("za",WkDagen[],YEAR(NOW())-2020,FALSE),""))</f>
        <v/>
      </c>
      <c r="J6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65" s="498" t="str">
        <f ca="1">IF(Inventarisatie[[#This Row],[Freq. Ma-Vr]]=0,0,IF(_xlfn.XLOOKUP(Inventarisatie[[#This Row],[Locatie]],Tabel2[Locatiecode],Tabel2[Basisfrequentie],0,0)=Locatieoverzicht!$F$47,VLOOKUP("fe",WkDagen[],YEAR(NOW())-2020,FALSE),""))</f>
        <v/>
      </c>
    </row>
    <row r="66" spans="1:11" x14ac:dyDescent="0.2">
      <c r="A66" s="501" t="s">
        <v>36</v>
      </c>
      <c r="B66" s="492" t="s">
        <v>301</v>
      </c>
      <c r="C66" s="501">
        <v>20</v>
      </c>
      <c r="D66" s="491" t="s">
        <v>312</v>
      </c>
      <c r="E66" s="501" t="s">
        <v>43</v>
      </c>
      <c r="F66" s="502" t="s">
        <v>6</v>
      </c>
      <c r="G66" s="494">
        <v>4.2</v>
      </c>
      <c r="H66" s="495" cm="1">
        <f t="array" aca="1" ref="H6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66" s="505" t="str">
        <f ca="1">IF(Inventarisatie[[#This Row],[Freq. Ma-Vr]]=0,0,IF(ISNUMBER(SEARCH("/",_xlfn.XLOOKUP(Inventarisatie[[#This Row],[Locatie]],Tabel2[Locatiecode],Tabel2[Basisfrequentie],0,0))),VLOOKUP("za",WkDagen[],YEAR(NOW())-2020,FALSE),""))</f>
        <v/>
      </c>
      <c r="J66" s="505"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66" s="505" t="str">
        <f ca="1">IF(Inventarisatie[[#This Row],[Freq. Ma-Vr]]=0,0,IF(_xlfn.XLOOKUP(Inventarisatie[[#This Row],[Locatie]],Tabel2[Locatiecode],Tabel2[Basisfrequentie],0,0)=Locatieoverzicht!$F$47,VLOOKUP("fe",WkDagen[],YEAR(NOW())-2020,FALSE),""))</f>
        <v/>
      </c>
    </row>
    <row r="67" spans="1:11" x14ac:dyDescent="0.2">
      <c r="A67" s="501" t="s">
        <v>36</v>
      </c>
      <c r="B67" s="492" t="s">
        <v>301</v>
      </c>
      <c r="C67" s="501">
        <v>21</v>
      </c>
      <c r="D67" s="491" t="s">
        <v>312</v>
      </c>
      <c r="E67" s="501" t="s">
        <v>41</v>
      </c>
      <c r="F67" s="502" t="s">
        <v>39</v>
      </c>
      <c r="G67" s="494">
        <v>38.5</v>
      </c>
      <c r="H67" s="495" cm="1">
        <f t="array" aca="1" ref="H6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67" s="498" t="str">
        <f ca="1">IF(Inventarisatie[[#This Row],[Freq. Ma-Vr]]=0,0,IF(ISNUMBER(SEARCH("/",_xlfn.XLOOKUP(Inventarisatie[[#This Row],[Locatie]],Tabel2[Locatiecode],Tabel2[Basisfrequentie],0,0))),VLOOKUP("za",WkDagen[],YEAR(NOW())-2020,FALSE),""))</f>
        <v/>
      </c>
      <c r="J6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67" s="498" t="str">
        <f ca="1">IF(Inventarisatie[[#This Row],[Freq. Ma-Vr]]=0,0,IF(_xlfn.XLOOKUP(Inventarisatie[[#This Row],[Locatie]],Tabel2[Locatiecode],Tabel2[Basisfrequentie],0,0)=Locatieoverzicht!$F$47,VLOOKUP("fe",WkDagen[],YEAR(NOW())-2020,FALSE),""))</f>
        <v/>
      </c>
    </row>
    <row r="68" spans="1:11" x14ac:dyDescent="0.2">
      <c r="A68" s="501" t="s">
        <v>36</v>
      </c>
      <c r="B68" s="492" t="s">
        <v>301</v>
      </c>
      <c r="C68" s="501">
        <v>22</v>
      </c>
      <c r="D68" s="491" t="s">
        <v>312</v>
      </c>
      <c r="E68" s="501" t="s">
        <v>21</v>
      </c>
      <c r="F68" s="502" t="s">
        <v>6</v>
      </c>
      <c r="G68" s="494">
        <v>12.8</v>
      </c>
      <c r="H68" s="495" cm="1">
        <f t="array" aca="1" ref="H6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68" s="498" t="str">
        <f ca="1">IF(Inventarisatie[[#This Row],[Freq. Ma-Vr]]=0,0,IF(ISNUMBER(SEARCH("/",_xlfn.XLOOKUP(Inventarisatie[[#This Row],[Locatie]],Tabel2[Locatiecode],Tabel2[Basisfrequentie],0,0))),VLOOKUP("za",WkDagen[],YEAR(NOW())-2020,FALSE),""))</f>
        <v/>
      </c>
      <c r="J6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68" s="498" t="str">
        <f ca="1">IF(Inventarisatie[[#This Row],[Freq. Ma-Vr]]=0,0,IF(_xlfn.XLOOKUP(Inventarisatie[[#This Row],[Locatie]],Tabel2[Locatiecode],Tabel2[Basisfrequentie],0,0)=Locatieoverzicht!$F$47,VLOOKUP("fe",WkDagen[],YEAR(NOW())-2020,FALSE),""))</f>
        <v/>
      </c>
    </row>
    <row r="69" spans="1:11" x14ac:dyDescent="0.2">
      <c r="A69" s="501" t="s">
        <v>36</v>
      </c>
      <c r="B69" s="492" t="s">
        <v>301</v>
      </c>
      <c r="C69" s="501">
        <v>23</v>
      </c>
      <c r="D69" s="491" t="s">
        <v>310</v>
      </c>
      <c r="E69" s="493" t="s">
        <v>5</v>
      </c>
      <c r="F69" s="502" t="s">
        <v>6</v>
      </c>
      <c r="G69" s="494">
        <v>14.6</v>
      </c>
      <c r="H69" s="495" cm="1">
        <f t="array" aca="1" ref="H6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69" s="498" t="str">
        <f ca="1">IF(Inventarisatie[[#This Row],[Freq. Ma-Vr]]=0,0,IF(ISNUMBER(SEARCH("/",_xlfn.XLOOKUP(Inventarisatie[[#This Row],[Locatie]],Tabel2[Locatiecode],Tabel2[Basisfrequentie],0,0))),VLOOKUP("za",WkDagen[],YEAR(NOW())-2020,FALSE),""))</f>
        <v/>
      </c>
      <c r="J6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69" s="498" t="str">
        <f ca="1">IF(Inventarisatie[[#This Row],[Freq. Ma-Vr]]=0,0,IF(_xlfn.XLOOKUP(Inventarisatie[[#This Row],[Locatie]],Tabel2[Locatiecode],Tabel2[Basisfrequentie],0,0)=Locatieoverzicht!$F$47,VLOOKUP("fe",WkDagen[],YEAR(NOW())-2020,FALSE),""))</f>
        <v/>
      </c>
    </row>
    <row r="70" spans="1:11" x14ac:dyDescent="0.2">
      <c r="A70" s="501" t="s">
        <v>36</v>
      </c>
      <c r="B70" s="492" t="s">
        <v>301</v>
      </c>
      <c r="C70" s="501">
        <v>24</v>
      </c>
      <c r="D70" s="491" t="s">
        <v>312</v>
      </c>
      <c r="E70" s="501" t="s">
        <v>21</v>
      </c>
      <c r="F70" s="502" t="s">
        <v>6</v>
      </c>
      <c r="G70" s="494">
        <v>14.6</v>
      </c>
      <c r="H70" s="495" cm="1">
        <f t="array" aca="1" ref="H7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70" s="498" t="str">
        <f ca="1">IF(Inventarisatie[[#This Row],[Freq. Ma-Vr]]=0,0,IF(ISNUMBER(SEARCH("/",_xlfn.XLOOKUP(Inventarisatie[[#This Row],[Locatie]],Tabel2[Locatiecode],Tabel2[Basisfrequentie],0,0))),VLOOKUP("za",WkDagen[],YEAR(NOW())-2020,FALSE),""))</f>
        <v/>
      </c>
      <c r="J7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70" s="498" t="str">
        <f ca="1">IF(Inventarisatie[[#This Row],[Freq. Ma-Vr]]=0,0,IF(_xlfn.XLOOKUP(Inventarisatie[[#This Row],[Locatie]],Tabel2[Locatiecode],Tabel2[Basisfrequentie],0,0)=Locatieoverzicht!$F$47,VLOOKUP("fe",WkDagen[],YEAR(NOW())-2020,FALSE),""))</f>
        <v/>
      </c>
    </row>
    <row r="71" spans="1:11" x14ac:dyDescent="0.2">
      <c r="A71" s="501" t="s">
        <v>36</v>
      </c>
      <c r="B71" s="492" t="s">
        <v>301</v>
      </c>
      <c r="C71" s="501">
        <v>25</v>
      </c>
      <c r="D71" s="491" t="s">
        <v>307</v>
      </c>
      <c r="E71" s="501" t="s">
        <v>31</v>
      </c>
      <c r="F71" s="502" t="s">
        <v>6</v>
      </c>
      <c r="G71" s="494">
        <v>5.3</v>
      </c>
      <c r="H71" s="495" cm="1">
        <f t="array" aca="1" ref="H7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71" s="498" t="str">
        <f ca="1">IF(Inventarisatie[[#This Row],[Freq. Ma-Vr]]=0,0,IF(ISNUMBER(SEARCH("/",_xlfn.XLOOKUP(Inventarisatie[[#This Row],[Locatie]],Tabel2[Locatiecode],Tabel2[Basisfrequentie],0,0))),VLOOKUP("za",WkDagen[],YEAR(NOW())-2020,FALSE),""))</f>
        <v/>
      </c>
      <c r="J7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71" s="498" t="str">
        <f ca="1">IF(Inventarisatie[[#This Row],[Freq. Ma-Vr]]=0,0,IF(_xlfn.XLOOKUP(Inventarisatie[[#This Row],[Locatie]],Tabel2[Locatiecode],Tabel2[Basisfrequentie],0,0)=Locatieoverzicht!$F$47,VLOOKUP("fe",WkDagen[],YEAR(NOW())-2020,FALSE),""))</f>
        <v/>
      </c>
    </row>
    <row r="72" spans="1:11" x14ac:dyDescent="0.2">
      <c r="A72" s="501" t="s">
        <v>36</v>
      </c>
      <c r="B72" s="492" t="s">
        <v>301</v>
      </c>
      <c r="C72" s="501">
        <v>26</v>
      </c>
      <c r="D72" s="491" t="s">
        <v>312</v>
      </c>
      <c r="E72" s="501" t="s">
        <v>41</v>
      </c>
      <c r="F72" s="502" t="s">
        <v>39</v>
      </c>
      <c r="G72" s="494">
        <v>12.3</v>
      </c>
      <c r="H72" s="495" cm="1">
        <f t="array" aca="1" ref="H7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72" s="498" t="str">
        <f ca="1">IF(Inventarisatie[[#This Row],[Freq. Ma-Vr]]=0,0,IF(ISNUMBER(SEARCH("/",_xlfn.XLOOKUP(Inventarisatie[[#This Row],[Locatie]],Tabel2[Locatiecode],Tabel2[Basisfrequentie],0,0))),VLOOKUP("za",WkDagen[],YEAR(NOW())-2020,FALSE),""))</f>
        <v/>
      </c>
      <c r="J7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72" s="498" t="str">
        <f ca="1">IF(Inventarisatie[[#This Row],[Freq. Ma-Vr]]=0,0,IF(_xlfn.XLOOKUP(Inventarisatie[[#This Row],[Locatie]],Tabel2[Locatiecode],Tabel2[Basisfrequentie],0,0)=Locatieoverzicht!$F$47,VLOOKUP("fe",WkDagen[],YEAR(NOW())-2020,FALSE),""))</f>
        <v/>
      </c>
    </row>
    <row r="73" spans="1:11" x14ac:dyDescent="0.2">
      <c r="A73" s="501" t="s">
        <v>36</v>
      </c>
      <c r="B73" s="492" t="s">
        <v>301</v>
      </c>
      <c r="C73" s="501">
        <v>27</v>
      </c>
      <c r="D73" s="491" t="s">
        <v>311</v>
      </c>
      <c r="E73" s="501" t="s">
        <v>16</v>
      </c>
      <c r="F73" s="502" t="s">
        <v>42</v>
      </c>
      <c r="G73" s="494">
        <v>9.6</v>
      </c>
      <c r="H73" s="495" cm="1">
        <f t="array" aca="1" ref="H7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73" s="498" t="str">
        <f ca="1">IF(Inventarisatie[[#This Row],[Freq. Ma-Vr]]=0,0,IF(ISNUMBER(SEARCH("/",_xlfn.XLOOKUP(Inventarisatie[[#This Row],[Locatie]],Tabel2[Locatiecode],Tabel2[Basisfrequentie],0,0))),VLOOKUP("za",WkDagen[],YEAR(NOW())-2020,FALSE),""))</f>
        <v/>
      </c>
      <c r="J7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73" s="498" t="str">
        <f ca="1">IF(Inventarisatie[[#This Row],[Freq. Ma-Vr]]=0,0,IF(_xlfn.XLOOKUP(Inventarisatie[[#This Row],[Locatie]],Tabel2[Locatiecode],Tabel2[Basisfrequentie],0,0)=Locatieoverzicht!$F$47,VLOOKUP("fe",WkDagen[],YEAR(NOW())-2020,FALSE),""))</f>
        <v/>
      </c>
    </row>
    <row r="74" spans="1:11" x14ac:dyDescent="0.2">
      <c r="A74" s="501" t="s">
        <v>36</v>
      </c>
      <c r="B74" s="492" t="s">
        <v>301</v>
      </c>
      <c r="C74" s="501">
        <v>28</v>
      </c>
      <c r="D74" s="491" t="s">
        <v>311</v>
      </c>
      <c r="E74" s="501" t="s">
        <v>16</v>
      </c>
      <c r="F74" s="502" t="s">
        <v>42</v>
      </c>
      <c r="G74" s="494">
        <v>3.4</v>
      </c>
      <c r="H74" s="495" cm="1">
        <f t="array" aca="1" ref="H7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74" s="498" t="str">
        <f ca="1">IF(Inventarisatie[[#This Row],[Freq. Ma-Vr]]=0,0,IF(ISNUMBER(SEARCH("/",_xlfn.XLOOKUP(Inventarisatie[[#This Row],[Locatie]],Tabel2[Locatiecode],Tabel2[Basisfrequentie],0,0))),VLOOKUP("za",WkDagen[],YEAR(NOW())-2020,FALSE),""))</f>
        <v/>
      </c>
      <c r="J7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74" s="498" t="str">
        <f ca="1">IF(Inventarisatie[[#This Row],[Freq. Ma-Vr]]=0,0,IF(_xlfn.XLOOKUP(Inventarisatie[[#This Row],[Locatie]],Tabel2[Locatiecode],Tabel2[Basisfrequentie],0,0)=Locatieoverzicht!$F$47,VLOOKUP("fe",WkDagen[],YEAR(NOW())-2020,FALSE),""))</f>
        <v/>
      </c>
    </row>
    <row r="75" spans="1:11" x14ac:dyDescent="0.2">
      <c r="A75" s="501" t="s">
        <v>36</v>
      </c>
      <c r="B75" s="492" t="s">
        <v>301</v>
      </c>
      <c r="C75" s="501">
        <v>29</v>
      </c>
      <c r="D75" s="491" t="s">
        <v>311</v>
      </c>
      <c r="E75" s="501" t="s">
        <v>16</v>
      </c>
      <c r="F75" s="502" t="s">
        <v>42</v>
      </c>
      <c r="G75" s="494">
        <v>9.3000000000000007</v>
      </c>
      <c r="H75" s="495" cm="1">
        <f t="array" aca="1" ref="H7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75" s="498" t="str">
        <f ca="1">IF(Inventarisatie[[#This Row],[Freq. Ma-Vr]]=0,0,IF(ISNUMBER(SEARCH("/",_xlfn.XLOOKUP(Inventarisatie[[#This Row],[Locatie]],Tabel2[Locatiecode],Tabel2[Basisfrequentie],0,0))),VLOOKUP("za",WkDagen[],YEAR(NOW())-2020,FALSE),""))</f>
        <v/>
      </c>
      <c r="J7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75" s="498" t="str">
        <f ca="1">IF(Inventarisatie[[#This Row],[Freq. Ma-Vr]]=0,0,IF(_xlfn.XLOOKUP(Inventarisatie[[#This Row],[Locatie]],Tabel2[Locatiecode],Tabel2[Basisfrequentie],0,0)=Locatieoverzicht!$F$47,VLOOKUP("fe",WkDagen[],YEAR(NOW())-2020,FALSE),""))</f>
        <v/>
      </c>
    </row>
    <row r="76" spans="1:11" x14ac:dyDescent="0.2">
      <c r="A76" s="501" t="s">
        <v>36</v>
      </c>
      <c r="B76" s="492" t="s">
        <v>301</v>
      </c>
      <c r="C76" s="501">
        <v>30</v>
      </c>
      <c r="D76" s="491" t="s">
        <v>312</v>
      </c>
      <c r="E76" s="501" t="s">
        <v>41</v>
      </c>
      <c r="F76" s="502" t="s">
        <v>39</v>
      </c>
      <c r="G76" s="494">
        <v>32</v>
      </c>
      <c r="H76" s="495" cm="1">
        <f t="array" aca="1" ref="H7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76" s="498" t="str">
        <f ca="1">IF(Inventarisatie[[#This Row],[Freq. Ma-Vr]]=0,0,IF(ISNUMBER(SEARCH("/",_xlfn.XLOOKUP(Inventarisatie[[#This Row],[Locatie]],Tabel2[Locatiecode],Tabel2[Basisfrequentie],0,0))),VLOOKUP("za",WkDagen[],YEAR(NOW())-2020,FALSE),""))</f>
        <v/>
      </c>
      <c r="J7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76" s="498" t="str">
        <f ca="1">IF(Inventarisatie[[#This Row],[Freq. Ma-Vr]]=0,0,IF(_xlfn.XLOOKUP(Inventarisatie[[#This Row],[Locatie]],Tabel2[Locatiecode],Tabel2[Basisfrequentie],0,0)=Locatieoverzicht!$F$47,VLOOKUP("fe",WkDagen[],YEAR(NOW())-2020,FALSE),""))</f>
        <v/>
      </c>
    </row>
    <row r="77" spans="1:11" x14ac:dyDescent="0.2">
      <c r="A77" s="501" t="s">
        <v>36</v>
      </c>
      <c r="B77" s="492" t="s">
        <v>301</v>
      </c>
      <c r="C77" s="501">
        <v>31</v>
      </c>
      <c r="D77" s="491" t="s">
        <v>310</v>
      </c>
      <c r="E77" s="493" t="s">
        <v>5</v>
      </c>
      <c r="F77" s="502" t="s">
        <v>6</v>
      </c>
      <c r="G77" s="494">
        <v>22.4</v>
      </c>
      <c r="H77" s="495" cm="1">
        <f t="array" aca="1" ref="H7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77" s="498" t="str">
        <f ca="1">IF(Inventarisatie[[#This Row],[Freq. Ma-Vr]]=0,0,IF(ISNUMBER(SEARCH("/",_xlfn.XLOOKUP(Inventarisatie[[#This Row],[Locatie]],Tabel2[Locatiecode],Tabel2[Basisfrequentie],0,0))),VLOOKUP("za",WkDagen[],YEAR(NOW())-2020,FALSE),""))</f>
        <v/>
      </c>
      <c r="J7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77" s="498" t="str">
        <f ca="1">IF(Inventarisatie[[#This Row],[Freq. Ma-Vr]]=0,0,IF(_xlfn.XLOOKUP(Inventarisatie[[#This Row],[Locatie]],Tabel2[Locatiecode],Tabel2[Basisfrequentie],0,0)=Locatieoverzicht!$F$47,VLOOKUP("fe",WkDagen[],YEAR(NOW())-2020,FALSE),""))</f>
        <v/>
      </c>
    </row>
    <row r="78" spans="1:11" x14ac:dyDescent="0.2">
      <c r="A78" s="501" t="s">
        <v>36</v>
      </c>
      <c r="B78" s="492" t="s">
        <v>301</v>
      </c>
      <c r="C78" s="501">
        <v>32</v>
      </c>
      <c r="D78" s="491" t="s">
        <v>310</v>
      </c>
      <c r="E78" s="493" t="s">
        <v>5</v>
      </c>
      <c r="F78" s="502" t="s">
        <v>6</v>
      </c>
      <c r="G78" s="494">
        <v>22.6</v>
      </c>
      <c r="H78" s="495" cm="1">
        <f t="array" aca="1" ref="H7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78" s="498" t="str">
        <f ca="1">IF(Inventarisatie[[#This Row],[Freq. Ma-Vr]]=0,0,IF(ISNUMBER(SEARCH("/",_xlfn.XLOOKUP(Inventarisatie[[#This Row],[Locatie]],Tabel2[Locatiecode],Tabel2[Basisfrequentie],0,0))),VLOOKUP("za",WkDagen[],YEAR(NOW())-2020,FALSE),""))</f>
        <v/>
      </c>
      <c r="J7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78" s="498" t="str">
        <f ca="1">IF(Inventarisatie[[#This Row],[Freq. Ma-Vr]]=0,0,IF(_xlfn.XLOOKUP(Inventarisatie[[#This Row],[Locatie]],Tabel2[Locatiecode],Tabel2[Basisfrequentie],0,0)=Locatieoverzicht!$F$47,VLOOKUP("fe",WkDagen[],YEAR(NOW())-2020,FALSE),""))</f>
        <v/>
      </c>
    </row>
    <row r="79" spans="1:11" x14ac:dyDescent="0.2">
      <c r="A79" s="501" t="s">
        <v>36</v>
      </c>
      <c r="B79" s="492" t="s">
        <v>301</v>
      </c>
      <c r="C79" s="501">
        <v>33</v>
      </c>
      <c r="D79" s="491" t="s">
        <v>310</v>
      </c>
      <c r="E79" s="493" t="s">
        <v>5</v>
      </c>
      <c r="F79" s="502" t="s">
        <v>6</v>
      </c>
      <c r="G79" s="494">
        <v>17.899999999999999</v>
      </c>
      <c r="H79" s="495" cm="1">
        <f t="array" aca="1" ref="H7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79" s="498" t="str">
        <f ca="1">IF(Inventarisatie[[#This Row],[Freq. Ma-Vr]]=0,0,IF(ISNUMBER(SEARCH("/",_xlfn.XLOOKUP(Inventarisatie[[#This Row],[Locatie]],Tabel2[Locatiecode],Tabel2[Basisfrequentie],0,0))),VLOOKUP("za",WkDagen[],YEAR(NOW())-2020,FALSE),""))</f>
        <v/>
      </c>
      <c r="J7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79" s="498" t="str">
        <f ca="1">IF(Inventarisatie[[#This Row],[Freq. Ma-Vr]]=0,0,IF(_xlfn.XLOOKUP(Inventarisatie[[#This Row],[Locatie]],Tabel2[Locatiecode],Tabel2[Basisfrequentie],0,0)=Locatieoverzicht!$F$47,VLOOKUP("fe",WkDagen[],YEAR(NOW())-2020,FALSE),""))</f>
        <v/>
      </c>
    </row>
    <row r="80" spans="1:11" x14ac:dyDescent="0.2">
      <c r="A80" s="501" t="s">
        <v>36</v>
      </c>
      <c r="B80" s="492" t="s">
        <v>301</v>
      </c>
      <c r="C80" s="501">
        <v>34</v>
      </c>
      <c r="D80" s="491" t="s">
        <v>310</v>
      </c>
      <c r="E80" s="493" t="s">
        <v>5</v>
      </c>
      <c r="F80" s="502" t="s">
        <v>6</v>
      </c>
      <c r="G80" s="494">
        <v>17.899999999999999</v>
      </c>
      <c r="H80" s="495" cm="1">
        <f t="array" aca="1" ref="H8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80" s="498" t="str">
        <f ca="1">IF(Inventarisatie[[#This Row],[Freq. Ma-Vr]]=0,0,IF(ISNUMBER(SEARCH("/",_xlfn.XLOOKUP(Inventarisatie[[#This Row],[Locatie]],Tabel2[Locatiecode],Tabel2[Basisfrequentie],0,0))),VLOOKUP("za",WkDagen[],YEAR(NOW())-2020,FALSE),""))</f>
        <v/>
      </c>
      <c r="J8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80" s="498" t="str">
        <f ca="1">IF(Inventarisatie[[#This Row],[Freq. Ma-Vr]]=0,0,IF(_xlfn.XLOOKUP(Inventarisatie[[#This Row],[Locatie]],Tabel2[Locatiecode],Tabel2[Basisfrequentie],0,0)=Locatieoverzicht!$F$47,VLOOKUP("fe",WkDagen[],YEAR(NOW())-2020,FALSE),""))</f>
        <v/>
      </c>
    </row>
    <row r="81" spans="1:11" x14ac:dyDescent="0.2">
      <c r="A81" s="501" t="s">
        <v>36</v>
      </c>
      <c r="B81" s="492" t="s">
        <v>301</v>
      </c>
      <c r="C81" s="501">
        <v>35</v>
      </c>
      <c r="D81" s="491" t="s">
        <v>310</v>
      </c>
      <c r="E81" s="493" t="s">
        <v>5</v>
      </c>
      <c r="F81" s="502" t="s">
        <v>6</v>
      </c>
      <c r="G81" s="494">
        <v>17.899999999999999</v>
      </c>
      <c r="H81" s="495" cm="1">
        <f t="array" aca="1" ref="H8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81" s="498" t="str">
        <f ca="1">IF(Inventarisatie[[#This Row],[Freq. Ma-Vr]]=0,0,IF(ISNUMBER(SEARCH("/",_xlfn.XLOOKUP(Inventarisatie[[#This Row],[Locatie]],Tabel2[Locatiecode],Tabel2[Basisfrequentie],0,0))),VLOOKUP("za",WkDagen[],YEAR(NOW())-2020,FALSE),""))</f>
        <v/>
      </c>
      <c r="J8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81" s="498" t="str">
        <f ca="1">IF(Inventarisatie[[#This Row],[Freq. Ma-Vr]]=0,0,IF(_xlfn.XLOOKUP(Inventarisatie[[#This Row],[Locatie]],Tabel2[Locatiecode],Tabel2[Basisfrequentie],0,0)=Locatieoverzicht!$F$47,VLOOKUP("fe",WkDagen[],YEAR(NOW())-2020,FALSE),""))</f>
        <v/>
      </c>
    </row>
    <row r="82" spans="1:11" x14ac:dyDescent="0.2">
      <c r="A82" s="501" t="s">
        <v>36</v>
      </c>
      <c r="B82" s="492" t="s">
        <v>301</v>
      </c>
      <c r="C82" s="501">
        <v>36</v>
      </c>
      <c r="D82" s="491" t="s">
        <v>310</v>
      </c>
      <c r="E82" s="493" t="s">
        <v>5</v>
      </c>
      <c r="F82" s="502" t="s">
        <v>6</v>
      </c>
      <c r="G82" s="494">
        <v>22.6</v>
      </c>
      <c r="H82" s="495" cm="1">
        <f t="array" aca="1" ref="H8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82" s="498" t="str">
        <f ca="1">IF(Inventarisatie[[#This Row],[Freq. Ma-Vr]]=0,0,IF(ISNUMBER(SEARCH("/",_xlfn.XLOOKUP(Inventarisatie[[#This Row],[Locatie]],Tabel2[Locatiecode],Tabel2[Basisfrequentie],0,0))),VLOOKUP("za",WkDagen[],YEAR(NOW())-2020,FALSE),""))</f>
        <v/>
      </c>
      <c r="J8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82" s="498" t="str">
        <f ca="1">IF(Inventarisatie[[#This Row],[Freq. Ma-Vr]]=0,0,IF(_xlfn.XLOOKUP(Inventarisatie[[#This Row],[Locatie]],Tabel2[Locatiecode],Tabel2[Basisfrequentie],0,0)=Locatieoverzicht!$F$47,VLOOKUP("fe",WkDagen[],YEAR(NOW())-2020,FALSE),""))</f>
        <v/>
      </c>
    </row>
    <row r="83" spans="1:11" x14ac:dyDescent="0.2">
      <c r="A83" s="501" t="s">
        <v>36</v>
      </c>
      <c r="B83" s="492" t="s">
        <v>301</v>
      </c>
      <c r="C83" s="501" t="s">
        <v>44</v>
      </c>
      <c r="D83" s="491" t="s">
        <v>310</v>
      </c>
      <c r="E83" s="493" t="s">
        <v>5</v>
      </c>
      <c r="F83" s="502" t="s">
        <v>6</v>
      </c>
      <c r="G83" s="494">
        <v>25</v>
      </c>
      <c r="H83" s="495" cm="1">
        <f t="array" aca="1" ref="H8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83" s="498" t="str">
        <f ca="1">IF(Inventarisatie[[#This Row],[Freq. Ma-Vr]]=0,0,IF(ISNUMBER(SEARCH("/",_xlfn.XLOOKUP(Inventarisatie[[#This Row],[Locatie]],Tabel2[Locatiecode],Tabel2[Basisfrequentie],0,0))),VLOOKUP("za",WkDagen[],YEAR(NOW())-2020,FALSE),""))</f>
        <v/>
      </c>
      <c r="J8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83" s="498" t="str">
        <f ca="1">IF(Inventarisatie[[#This Row],[Freq. Ma-Vr]]=0,0,IF(_xlfn.XLOOKUP(Inventarisatie[[#This Row],[Locatie]],Tabel2[Locatiecode],Tabel2[Basisfrequentie],0,0)=Locatieoverzicht!$F$47,VLOOKUP("fe",WkDagen[],YEAR(NOW())-2020,FALSE),""))</f>
        <v/>
      </c>
    </row>
    <row r="84" spans="1:11" x14ac:dyDescent="0.2">
      <c r="A84" s="501" t="s">
        <v>36</v>
      </c>
      <c r="B84" s="500" t="s">
        <v>302</v>
      </c>
      <c r="C84" s="506">
        <v>1001</v>
      </c>
      <c r="D84" s="491" t="s">
        <v>307</v>
      </c>
      <c r="E84" s="501" t="s">
        <v>26</v>
      </c>
      <c r="F84" s="502" t="s">
        <v>39</v>
      </c>
      <c r="G84" s="494">
        <v>27.2</v>
      </c>
      <c r="H84" s="495" cm="1">
        <f t="array" aca="1" ref="H8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84" s="498" t="str">
        <f ca="1">IF(Inventarisatie[[#This Row],[Freq. Ma-Vr]]=0,0,IF(ISNUMBER(SEARCH("/",_xlfn.XLOOKUP(Inventarisatie[[#This Row],[Locatie]],Tabel2[Locatiecode],Tabel2[Basisfrequentie],0,0))),VLOOKUP("za",WkDagen[],YEAR(NOW())-2020,FALSE),""))</f>
        <v/>
      </c>
      <c r="J8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84" s="498" t="str">
        <f ca="1">IF(Inventarisatie[[#This Row],[Freq. Ma-Vr]]=0,0,IF(_xlfn.XLOOKUP(Inventarisatie[[#This Row],[Locatie]],Tabel2[Locatiecode],Tabel2[Basisfrequentie],0,0)=Locatieoverzicht!$F$47,VLOOKUP("fe",WkDagen[],YEAR(NOW())-2020,FALSE),""))</f>
        <v/>
      </c>
    </row>
    <row r="85" spans="1:11" x14ac:dyDescent="0.2">
      <c r="A85" s="501" t="s">
        <v>36</v>
      </c>
      <c r="B85" s="500" t="s">
        <v>302</v>
      </c>
      <c r="C85" s="506">
        <v>1002</v>
      </c>
      <c r="D85" s="491" t="s">
        <v>307</v>
      </c>
      <c r="E85" s="501" t="s">
        <v>26</v>
      </c>
      <c r="F85" s="502" t="s">
        <v>39</v>
      </c>
      <c r="G85" s="494">
        <v>28.2</v>
      </c>
      <c r="H85" s="495" cm="1">
        <f t="array" aca="1" ref="H8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85" s="498" t="str">
        <f ca="1">IF(Inventarisatie[[#This Row],[Freq. Ma-Vr]]=0,0,IF(ISNUMBER(SEARCH("/",_xlfn.XLOOKUP(Inventarisatie[[#This Row],[Locatie]],Tabel2[Locatiecode],Tabel2[Basisfrequentie],0,0))),VLOOKUP("za",WkDagen[],YEAR(NOW())-2020,FALSE),""))</f>
        <v/>
      </c>
      <c r="J8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85" s="498" t="str">
        <f ca="1">IF(Inventarisatie[[#This Row],[Freq. Ma-Vr]]=0,0,IF(_xlfn.XLOOKUP(Inventarisatie[[#This Row],[Locatie]],Tabel2[Locatiecode],Tabel2[Basisfrequentie],0,0)=Locatieoverzicht!$F$47,VLOOKUP("fe",WkDagen[],YEAR(NOW())-2020,FALSE),""))</f>
        <v/>
      </c>
    </row>
    <row r="86" spans="1:11" x14ac:dyDescent="0.2">
      <c r="A86" s="501" t="s">
        <v>36</v>
      </c>
      <c r="B86" s="500" t="s">
        <v>302</v>
      </c>
      <c r="C86" s="506">
        <v>1003</v>
      </c>
      <c r="D86" s="491" t="s">
        <v>307</v>
      </c>
      <c r="E86" s="501" t="s">
        <v>26</v>
      </c>
      <c r="F86" s="502" t="s">
        <v>39</v>
      </c>
      <c r="G86" s="494">
        <v>28.2</v>
      </c>
      <c r="H86" s="495" cm="1">
        <f t="array" aca="1" ref="H8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86" s="498" t="str">
        <f ca="1">IF(Inventarisatie[[#This Row],[Freq. Ma-Vr]]=0,0,IF(ISNUMBER(SEARCH("/",_xlfn.XLOOKUP(Inventarisatie[[#This Row],[Locatie]],Tabel2[Locatiecode],Tabel2[Basisfrequentie],0,0))),VLOOKUP("za",WkDagen[],YEAR(NOW())-2020,FALSE),""))</f>
        <v/>
      </c>
      <c r="J8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86" s="498" t="str">
        <f ca="1">IF(Inventarisatie[[#This Row],[Freq. Ma-Vr]]=0,0,IF(_xlfn.XLOOKUP(Inventarisatie[[#This Row],[Locatie]],Tabel2[Locatiecode],Tabel2[Basisfrequentie],0,0)=Locatieoverzicht!$F$47,VLOOKUP("fe",WkDagen[],YEAR(NOW())-2020,FALSE),""))</f>
        <v/>
      </c>
    </row>
    <row r="87" spans="1:11" x14ac:dyDescent="0.2">
      <c r="A87" s="501" t="s">
        <v>36</v>
      </c>
      <c r="B87" s="500" t="s">
        <v>302</v>
      </c>
      <c r="C87" s="506">
        <v>1004</v>
      </c>
      <c r="D87" s="491" t="s">
        <v>312</v>
      </c>
      <c r="E87" s="501" t="s">
        <v>45</v>
      </c>
      <c r="F87" s="502" t="s">
        <v>39</v>
      </c>
      <c r="G87" s="494">
        <v>16.8</v>
      </c>
      <c r="H87" s="495" cm="1">
        <f t="array" aca="1" ref="H8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87" s="498" t="str">
        <f ca="1">IF(Inventarisatie[[#This Row],[Freq. Ma-Vr]]=0,0,IF(ISNUMBER(SEARCH("/",_xlfn.XLOOKUP(Inventarisatie[[#This Row],[Locatie]],Tabel2[Locatiecode],Tabel2[Basisfrequentie],0,0))),VLOOKUP("za",WkDagen[],YEAR(NOW())-2020,FALSE),""))</f>
        <v/>
      </c>
      <c r="J8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87" s="498" t="str">
        <f ca="1">IF(Inventarisatie[[#This Row],[Freq. Ma-Vr]]=0,0,IF(_xlfn.XLOOKUP(Inventarisatie[[#This Row],[Locatie]],Tabel2[Locatiecode],Tabel2[Basisfrequentie],0,0)=Locatieoverzicht!$F$47,VLOOKUP("fe",WkDagen[],YEAR(NOW())-2020,FALSE),""))</f>
        <v/>
      </c>
    </row>
    <row r="88" spans="1:11" x14ac:dyDescent="0.2">
      <c r="A88" s="501" t="s">
        <v>36</v>
      </c>
      <c r="B88" s="500" t="s">
        <v>302</v>
      </c>
      <c r="C88" s="506">
        <v>1005</v>
      </c>
      <c r="D88" s="491" t="s">
        <v>307</v>
      </c>
      <c r="E88" s="501" t="s">
        <v>26</v>
      </c>
      <c r="F88" s="502" t="s">
        <v>39</v>
      </c>
      <c r="G88" s="494">
        <v>27</v>
      </c>
      <c r="H88" s="495" cm="1">
        <f t="array" aca="1" ref="H8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88" s="498" t="str">
        <f ca="1">IF(Inventarisatie[[#This Row],[Freq. Ma-Vr]]=0,0,IF(ISNUMBER(SEARCH("/",_xlfn.XLOOKUP(Inventarisatie[[#This Row],[Locatie]],Tabel2[Locatiecode],Tabel2[Basisfrequentie],0,0))),VLOOKUP("za",WkDagen[],YEAR(NOW())-2020,FALSE),""))</f>
        <v/>
      </c>
      <c r="J8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88" s="498" t="str">
        <f ca="1">IF(Inventarisatie[[#This Row],[Freq. Ma-Vr]]=0,0,IF(_xlfn.XLOOKUP(Inventarisatie[[#This Row],[Locatie]],Tabel2[Locatiecode],Tabel2[Basisfrequentie],0,0)=Locatieoverzicht!$F$47,VLOOKUP("fe",WkDagen[],YEAR(NOW())-2020,FALSE),""))</f>
        <v/>
      </c>
    </row>
    <row r="89" spans="1:11" x14ac:dyDescent="0.2">
      <c r="A89" s="501" t="s">
        <v>36</v>
      </c>
      <c r="B89" s="500" t="s">
        <v>302</v>
      </c>
      <c r="C89" s="506">
        <v>1006</v>
      </c>
      <c r="D89" s="491" t="s">
        <v>307</v>
      </c>
      <c r="E89" s="501" t="s">
        <v>26</v>
      </c>
      <c r="F89" s="502" t="s">
        <v>39</v>
      </c>
      <c r="G89" s="494">
        <v>18.8</v>
      </c>
      <c r="H89" s="495" cm="1">
        <f t="array" aca="1" ref="H8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89" s="498" t="str">
        <f ca="1">IF(Inventarisatie[[#This Row],[Freq. Ma-Vr]]=0,0,IF(ISNUMBER(SEARCH("/",_xlfn.XLOOKUP(Inventarisatie[[#This Row],[Locatie]],Tabel2[Locatiecode],Tabel2[Basisfrequentie],0,0))),VLOOKUP("za",WkDagen[],YEAR(NOW())-2020,FALSE),""))</f>
        <v/>
      </c>
      <c r="J8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89" s="498" t="str">
        <f ca="1">IF(Inventarisatie[[#This Row],[Freq. Ma-Vr]]=0,0,IF(_xlfn.XLOOKUP(Inventarisatie[[#This Row],[Locatie]],Tabel2[Locatiecode],Tabel2[Basisfrequentie],0,0)=Locatieoverzicht!$F$47,VLOOKUP("fe",WkDagen[],YEAR(NOW())-2020,FALSE),""))</f>
        <v/>
      </c>
    </row>
    <row r="90" spans="1:11" x14ac:dyDescent="0.2">
      <c r="A90" s="501" t="s">
        <v>36</v>
      </c>
      <c r="B90" s="500" t="s">
        <v>302</v>
      </c>
      <c r="C90" s="506">
        <v>1007</v>
      </c>
      <c r="D90" s="491" t="s">
        <v>307</v>
      </c>
      <c r="E90" s="501" t="s">
        <v>26</v>
      </c>
      <c r="F90" s="502" t="s">
        <v>39</v>
      </c>
      <c r="G90" s="494">
        <v>18.8</v>
      </c>
      <c r="H90" s="495" cm="1">
        <f t="array" aca="1" ref="H9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90" s="498" t="str">
        <f ca="1">IF(Inventarisatie[[#This Row],[Freq. Ma-Vr]]=0,0,IF(ISNUMBER(SEARCH("/",_xlfn.XLOOKUP(Inventarisatie[[#This Row],[Locatie]],Tabel2[Locatiecode],Tabel2[Basisfrequentie],0,0))),VLOOKUP("za",WkDagen[],YEAR(NOW())-2020,FALSE),""))</f>
        <v/>
      </c>
      <c r="J9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90" s="498" t="str">
        <f ca="1">IF(Inventarisatie[[#This Row],[Freq. Ma-Vr]]=0,0,IF(_xlfn.XLOOKUP(Inventarisatie[[#This Row],[Locatie]],Tabel2[Locatiecode],Tabel2[Basisfrequentie],0,0)=Locatieoverzicht!$F$47,VLOOKUP("fe",WkDagen[],YEAR(NOW())-2020,FALSE),""))</f>
        <v/>
      </c>
    </row>
    <row r="91" spans="1:11" x14ac:dyDescent="0.2">
      <c r="A91" s="501" t="s">
        <v>36</v>
      </c>
      <c r="B91" s="500" t="s">
        <v>302</v>
      </c>
      <c r="C91" s="506">
        <v>1008</v>
      </c>
      <c r="D91" s="491" t="s">
        <v>312</v>
      </c>
      <c r="E91" s="501" t="s">
        <v>41</v>
      </c>
      <c r="F91" s="502" t="s">
        <v>39</v>
      </c>
      <c r="G91" s="494">
        <v>61</v>
      </c>
      <c r="H91" s="495" cm="1">
        <f t="array" aca="1" ref="H9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91" s="498" t="str">
        <f ca="1">IF(Inventarisatie[[#This Row],[Freq. Ma-Vr]]=0,0,IF(ISNUMBER(SEARCH("/",_xlfn.XLOOKUP(Inventarisatie[[#This Row],[Locatie]],Tabel2[Locatiecode],Tabel2[Basisfrequentie],0,0))),VLOOKUP("za",WkDagen[],YEAR(NOW())-2020,FALSE),""))</f>
        <v/>
      </c>
      <c r="J9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91" s="498" t="str">
        <f ca="1">IF(Inventarisatie[[#This Row],[Freq. Ma-Vr]]=0,0,IF(_xlfn.XLOOKUP(Inventarisatie[[#This Row],[Locatie]],Tabel2[Locatiecode],Tabel2[Basisfrequentie],0,0)=Locatieoverzicht!$F$47,VLOOKUP("fe",WkDagen[],YEAR(NOW())-2020,FALSE),""))</f>
        <v/>
      </c>
    </row>
    <row r="92" spans="1:11" x14ac:dyDescent="0.2">
      <c r="A92" s="501" t="s">
        <v>36</v>
      </c>
      <c r="B92" s="500" t="s">
        <v>302</v>
      </c>
      <c r="C92" s="506">
        <v>1018</v>
      </c>
      <c r="D92" s="491" t="s">
        <v>310</v>
      </c>
      <c r="E92" s="501" t="s">
        <v>34</v>
      </c>
      <c r="F92" s="502" t="s">
        <v>39</v>
      </c>
      <c r="G92" s="494">
        <v>37.9</v>
      </c>
      <c r="H92" s="495" cm="1">
        <f t="array" aca="1" ref="H9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92" s="498" t="str">
        <f ca="1">IF(Inventarisatie[[#This Row],[Freq. Ma-Vr]]=0,0,IF(ISNUMBER(SEARCH("/",_xlfn.XLOOKUP(Inventarisatie[[#This Row],[Locatie]],Tabel2[Locatiecode],Tabel2[Basisfrequentie],0,0))),VLOOKUP("za",WkDagen[],YEAR(NOW())-2020,FALSE),""))</f>
        <v/>
      </c>
      <c r="J9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92" s="498" t="str">
        <f ca="1">IF(Inventarisatie[[#This Row],[Freq. Ma-Vr]]=0,0,IF(_xlfn.XLOOKUP(Inventarisatie[[#This Row],[Locatie]],Tabel2[Locatiecode],Tabel2[Basisfrequentie],0,0)=Locatieoverzicht!$F$47,VLOOKUP("fe",WkDagen[],YEAR(NOW())-2020,FALSE),""))</f>
        <v/>
      </c>
    </row>
    <row r="93" spans="1:11" x14ac:dyDescent="0.2">
      <c r="A93" s="501" t="s">
        <v>36</v>
      </c>
      <c r="B93" s="500" t="s">
        <v>302</v>
      </c>
      <c r="C93" s="506">
        <v>1019</v>
      </c>
      <c r="D93" s="491" t="s">
        <v>310</v>
      </c>
      <c r="E93" s="501" t="s">
        <v>34</v>
      </c>
      <c r="F93" s="502" t="s">
        <v>39</v>
      </c>
      <c r="G93" s="494">
        <v>25.3</v>
      </c>
      <c r="H93" s="495" cm="1">
        <f t="array" aca="1" ref="H9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93" s="498" t="str">
        <f ca="1">IF(Inventarisatie[[#This Row],[Freq. Ma-Vr]]=0,0,IF(ISNUMBER(SEARCH("/",_xlfn.XLOOKUP(Inventarisatie[[#This Row],[Locatie]],Tabel2[Locatiecode],Tabel2[Basisfrequentie],0,0))),VLOOKUP("za",WkDagen[],YEAR(NOW())-2020,FALSE),""))</f>
        <v/>
      </c>
      <c r="J9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93" s="498" t="str">
        <f ca="1">IF(Inventarisatie[[#This Row],[Freq. Ma-Vr]]=0,0,IF(_xlfn.XLOOKUP(Inventarisatie[[#This Row],[Locatie]],Tabel2[Locatiecode],Tabel2[Basisfrequentie],0,0)=Locatieoverzicht!$F$47,VLOOKUP("fe",WkDagen[],YEAR(NOW())-2020,FALSE),""))</f>
        <v/>
      </c>
    </row>
    <row r="94" spans="1:11" x14ac:dyDescent="0.2">
      <c r="A94" s="501" t="s">
        <v>36</v>
      </c>
      <c r="B94" s="500" t="s">
        <v>302</v>
      </c>
      <c r="C94" s="506">
        <v>1017</v>
      </c>
      <c r="D94" s="491" t="s">
        <v>312</v>
      </c>
      <c r="E94" s="501" t="s">
        <v>41</v>
      </c>
      <c r="F94" s="502" t="s">
        <v>39</v>
      </c>
      <c r="G94" s="494">
        <v>23.3</v>
      </c>
      <c r="H94" s="495" cm="1">
        <f t="array" aca="1" ref="H9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94" s="498" t="str">
        <f ca="1">IF(Inventarisatie[[#This Row],[Freq. Ma-Vr]]=0,0,IF(ISNUMBER(SEARCH("/",_xlfn.XLOOKUP(Inventarisatie[[#This Row],[Locatie]],Tabel2[Locatiecode],Tabel2[Basisfrequentie],0,0))),VLOOKUP("za",WkDagen[],YEAR(NOW())-2020,FALSE),""))</f>
        <v/>
      </c>
      <c r="J9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94" s="498" t="str">
        <f ca="1">IF(Inventarisatie[[#This Row],[Freq. Ma-Vr]]=0,0,IF(_xlfn.XLOOKUP(Inventarisatie[[#This Row],[Locatie]],Tabel2[Locatiecode],Tabel2[Basisfrequentie],0,0)=Locatieoverzicht!$F$47,VLOOKUP("fe",WkDagen[],YEAR(NOW())-2020,FALSE),""))</f>
        <v/>
      </c>
    </row>
    <row r="95" spans="1:11" x14ac:dyDescent="0.2">
      <c r="A95" s="501" t="s">
        <v>36</v>
      </c>
      <c r="B95" s="500" t="s">
        <v>302</v>
      </c>
      <c r="C95" s="499"/>
      <c r="D95" s="491" t="s">
        <v>308</v>
      </c>
      <c r="E95" s="501" t="s">
        <v>35</v>
      </c>
      <c r="F95" s="502" t="s">
        <v>39</v>
      </c>
      <c r="G95" s="494">
        <v>8.1999999999999993</v>
      </c>
      <c r="H95" s="495" cm="1">
        <f t="array" aca="1" ref="H9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95" s="498" t="str">
        <f ca="1">IF(Inventarisatie[[#This Row],[Freq. Ma-Vr]]=0,0,IF(ISNUMBER(SEARCH("/",_xlfn.XLOOKUP(Inventarisatie[[#This Row],[Locatie]],Tabel2[Locatiecode],Tabel2[Basisfrequentie],0,0))),VLOOKUP("za",WkDagen[],YEAR(NOW())-2020,FALSE),""))</f>
        <v/>
      </c>
      <c r="J9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95" s="498" t="str">
        <f ca="1">IF(Inventarisatie[[#This Row],[Freq. Ma-Vr]]=0,0,IF(_xlfn.XLOOKUP(Inventarisatie[[#This Row],[Locatie]],Tabel2[Locatiecode],Tabel2[Basisfrequentie],0,0)=Locatieoverzicht!$F$47,VLOOKUP("fe",WkDagen[],YEAR(NOW())-2020,FALSE),""))</f>
        <v/>
      </c>
    </row>
    <row r="96" spans="1:11" x14ac:dyDescent="0.2">
      <c r="A96" s="501" t="s">
        <v>36</v>
      </c>
      <c r="B96" s="500" t="s">
        <v>302</v>
      </c>
      <c r="C96" s="499"/>
      <c r="D96" s="491" t="s">
        <v>310</v>
      </c>
      <c r="E96" s="493" t="s">
        <v>5</v>
      </c>
      <c r="F96" s="502" t="s">
        <v>39</v>
      </c>
      <c r="G96" s="494">
        <v>11.2</v>
      </c>
      <c r="H96" s="495" cm="1">
        <f t="array" aca="1" ref="H9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96" s="498" t="str">
        <f ca="1">IF(Inventarisatie[[#This Row],[Freq. Ma-Vr]]=0,0,IF(ISNUMBER(SEARCH("/",_xlfn.XLOOKUP(Inventarisatie[[#This Row],[Locatie]],Tabel2[Locatiecode],Tabel2[Basisfrequentie],0,0))),VLOOKUP("za",WkDagen[],YEAR(NOW())-2020,FALSE),""))</f>
        <v/>
      </c>
      <c r="J9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96" s="498" t="str">
        <f ca="1">IF(Inventarisatie[[#This Row],[Freq. Ma-Vr]]=0,0,IF(_xlfn.XLOOKUP(Inventarisatie[[#This Row],[Locatie]],Tabel2[Locatiecode],Tabel2[Basisfrequentie],0,0)=Locatieoverzicht!$F$47,VLOOKUP("fe",WkDagen[],YEAR(NOW())-2020,FALSE),""))</f>
        <v/>
      </c>
    </row>
    <row r="97" spans="1:11" x14ac:dyDescent="0.2">
      <c r="A97" s="507" t="s">
        <v>36</v>
      </c>
      <c r="B97" s="500" t="s">
        <v>302</v>
      </c>
      <c r="C97" s="508">
        <v>1013</v>
      </c>
      <c r="D97" s="491" t="s">
        <v>311</v>
      </c>
      <c r="E97" s="507" t="s">
        <v>16</v>
      </c>
      <c r="F97" s="509" t="s">
        <v>6</v>
      </c>
      <c r="G97" s="494">
        <v>14.1</v>
      </c>
      <c r="H97" s="495" cm="1">
        <f t="array" aca="1" ref="H9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97" s="498" t="str">
        <f ca="1">IF(Inventarisatie[[#This Row],[Freq. Ma-Vr]]=0,0,IF(ISNUMBER(SEARCH("/",_xlfn.XLOOKUP(Inventarisatie[[#This Row],[Locatie]],Tabel2[Locatiecode],Tabel2[Basisfrequentie],0,0))),VLOOKUP("za",WkDagen[],YEAR(NOW())-2020,FALSE),""))</f>
        <v/>
      </c>
      <c r="J9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97" s="498" t="str">
        <f ca="1">IF(Inventarisatie[[#This Row],[Freq. Ma-Vr]]=0,0,IF(_xlfn.XLOOKUP(Inventarisatie[[#This Row],[Locatie]],Tabel2[Locatiecode],Tabel2[Basisfrequentie],0,0)=Locatieoverzicht!$F$47,VLOOKUP("fe",WkDagen[],YEAR(NOW())-2020,FALSE),""))</f>
        <v/>
      </c>
    </row>
    <row r="98" spans="1:11" x14ac:dyDescent="0.2">
      <c r="A98" s="507" t="s">
        <v>36</v>
      </c>
      <c r="B98" s="500" t="s">
        <v>302</v>
      </c>
      <c r="C98" s="508">
        <v>1014</v>
      </c>
      <c r="D98" s="491" t="s">
        <v>311</v>
      </c>
      <c r="E98" s="507" t="s">
        <v>16</v>
      </c>
      <c r="F98" s="509" t="s">
        <v>6</v>
      </c>
      <c r="G98" s="494">
        <v>7.5</v>
      </c>
      <c r="H98" s="495" cm="1">
        <f t="array" aca="1" ref="H9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98" s="498" t="str">
        <f ca="1">IF(Inventarisatie[[#This Row],[Freq. Ma-Vr]]=0,0,IF(ISNUMBER(SEARCH("/",_xlfn.XLOOKUP(Inventarisatie[[#This Row],[Locatie]],Tabel2[Locatiecode],Tabel2[Basisfrequentie],0,0))),VLOOKUP("za",WkDagen[],YEAR(NOW())-2020,FALSE),""))</f>
        <v/>
      </c>
      <c r="J9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98" s="498" t="str">
        <f ca="1">IF(Inventarisatie[[#This Row],[Freq. Ma-Vr]]=0,0,IF(_xlfn.XLOOKUP(Inventarisatie[[#This Row],[Locatie]],Tabel2[Locatiecode],Tabel2[Basisfrequentie],0,0)=Locatieoverzicht!$F$47,VLOOKUP("fe",WkDagen[],YEAR(NOW())-2020,FALSE),""))</f>
        <v/>
      </c>
    </row>
    <row r="99" spans="1:11" x14ac:dyDescent="0.2">
      <c r="A99" s="507" t="s">
        <v>36</v>
      </c>
      <c r="B99" s="500" t="s">
        <v>302</v>
      </c>
      <c r="C99" s="508">
        <v>1012</v>
      </c>
      <c r="D99" s="491" t="s">
        <v>312</v>
      </c>
      <c r="E99" s="507" t="s">
        <v>46</v>
      </c>
      <c r="F99" s="509" t="s">
        <v>39</v>
      </c>
      <c r="G99" s="494">
        <v>15.8</v>
      </c>
      <c r="H99" s="495" cm="1">
        <f t="array" aca="1" ref="H9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99" s="498" t="str">
        <f ca="1">IF(Inventarisatie[[#This Row],[Freq. Ma-Vr]]=0,0,IF(ISNUMBER(SEARCH("/",_xlfn.XLOOKUP(Inventarisatie[[#This Row],[Locatie]],Tabel2[Locatiecode],Tabel2[Basisfrequentie],0,0))),VLOOKUP("za",WkDagen[],YEAR(NOW())-2020,FALSE),""))</f>
        <v/>
      </c>
      <c r="J9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99" s="498" t="str">
        <f ca="1">IF(Inventarisatie[[#This Row],[Freq. Ma-Vr]]=0,0,IF(_xlfn.XLOOKUP(Inventarisatie[[#This Row],[Locatie]],Tabel2[Locatiecode],Tabel2[Basisfrequentie],0,0)=Locatieoverzicht!$F$47,VLOOKUP("fe",WkDagen[],YEAR(NOW())-2020,FALSE),""))</f>
        <v/>
      </c>
    </row>
    <row r="100" spans="1:11" x14ac:dyDescent="0.2">
      <c r="A100" s="501" t="s">
        <v>36</v>
      </c>
      <c r="B100" s="500" t="s">
        <v>302</v>
      </c>
      <c r="C100" s="506">
        <v>1011</v>
      </c>
      <c r="D100" s="499" t="s">
        <v>308</v>
      </c>
      <c r="E100" s="501" t="s">
        <v>47</v>
      </c>
      <c r="F100" s="502" t="s">
        <v>39</v>
      </c>
      <c r="G100" s="494">
        <v>49.5</v>
      </c>
      <c r="H100" s="495" cm="1">
        <f t="array" aca="1" ref="H10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00" s="498" t="str">
        <f ca="1">IF(Inventarisatie[[#This Row],[Freq. Ma-Vr]]=0,0,IF(ISNUMBER(SEARCH("/",_xlfn.XLOOKUP(Inventarisatie[[#This Row],[Locatie]],Tabel2[Locatiecode],Tabel2[Basisfrequentie],0,0))),VLOOKUP("za",WkDagen[],YEAR(NOW())-2020,FALSE),""))</f>
        <v/>
      </c>
      <c r="J10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00" s="498" t="str">
        <f ca="1">IF(Inventarisatie[[#This Row],[Freq. Ma-Vr]]=0,0,IF(_xlfn.XLOOKUP(Inventarisatie[[#This Row],[Locatie]],Tabel2[Locatiecode],Tabel2[Basisfrequentie],0,0)=Locatieoverzicht!$F$47,VLOOKUP("fe",WkDagen[],YEAR(NOW())-2020,FALSE),""))</f>
        <v/>
      </c>
    </row>
    <row r="101" spans="1:11" x14ac:dyDescent="0.2">
      <c r="A101" s="501" t="s">
        <v>36</v>
      </c>
      <c r="B101" s="500" t="s">
        <v>302</v>
      </c>
      <c r="C101" s="506">
        <v>1010</v>
      </c>
      <c r="D101" s="499" t="s">
        <v>308</v>
      </c>
      <c r="E101" s="501" t="s">
        <v>47</v>
      </c>
      <c r="F101" s="502" t="s">
        <v>39</v>
      </c>
      <c r="G101" s="494">
        <v>87.9</v>
      </c>
      <c r="H101" s="495" cm="1">
        <f t="array" aca="1" ref="H10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01" s="498" t="str">
        <f ca="1">IF(Inventarisatie[[#This Row],[Freq. Ma-Vr]]=0,0,IF(ISNUMBER(SEARCH("/",_xlfn.XLOOKUP(Inventarisatie[[#This Row],[Locatie]],Tabel2[Locatiecode],Tabel2[Basisfrequentie],0,0))),VLOOKUP("za",WkDagen[],YEAR(NOW())-2020,FALSE),""))</f>
        <v/>
      </c>
      <c r="J10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01" s="498" t="str">
        <f ca="1">IF(Inventarisatie[[#This Row],[Freq. Ma-Vr]]=0,0,IF(_xlfn.XLOOKUP(Inventarisatie[[#This Row],[Locatie]],Tabel2[Locatiecode],Tabel2[Basisfrequentie],0,0)=Locatieoverzicht!$F$47,VLOOKUP("fe",WkDagen[],YEAR(NOW())-2020,FALSE),""))</f>
        <v/>
      </c>
    </row>
    <row r="102" spans="1:11" x14ac:dyDescent="0.2">
      <c r="A102" s="501" t="s">
        <v>36</v>
      </c>
      <c r="B102" s="500" t="s">
        <v>302</v>
      </c>
      <c r="C102" s="506">
        <v>1009</v>
      </c>
      <c r="D102" s="491" t="s">
        <v>310</v>
      </c>
      <c r="E102" s="493" t="s">
        <v>5</v>
      </c>
      <c r="F102" s="502" t="s">
        <v>39</v>
      </c>
      <c r="G102" s="494">
        <v>61.4</v>
      </c>
      <c r="H102" s="495" cm="1">
        <f t="array" aca="1" ref="H10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02" s="498" t="str">
        <f ca="1">IF(Inventarisatie[[#This Row],[Freq. Ma-Vr]]=0,0,IF(ISNUMBER(SEARCH("/",_xlfn.XLOOKUP(Inventarisatie[[#This Row],[Locatie]],Tabel2[Locatiecode],Tabel2[Basisfrequentie],0,0))),VLOOKUP("za",WkDagen[],YEAR(NOW())-2020,FALSE),""))</f>
        <v/>
      </c>
      <c r="J10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02" s="498" t="str">
        <f ca="1">IF(Inventarisatie[[#This Row],[Freq. Ma-Vr]]=0,0,IF(_xlfn.XLOOKUP(Inventarisatie[[#This Row],[Locatie]],Tabel2[Locatiecode],Tabel2[Basisfrequentie],0,0)=Locatieoverzicht!$F$47,VLOOKUP("fe",WkDagen[],YEAR(NOW())-2020,FALSE),""))</f>
        <v/>
      </c>
    </row>
    <row r="103" spans="1:11" x14ac:dyDescent="0.2">
      <c r="A103" s="501" t="s">
        <v>36</v>
      </c>
      <c r="B103" s="492" t="s">
        <v>303</v>
      </c>
      <c r="C103" s="501" t="s">
        <v>48</v>
      </c>
      <c r="D103" s="491" t="s">
        <v>307</v>
      </c>
      <c r="E103" s="501" t="s">
        <v>26</v>
      </c>
      <c r="F103" s="502" t="s">
        <v>39</v>
      </c>
      <c r="G103" s="494">
        <v>49</v>
      </c>
      <c r="H103" s="495" cm="1">
        <f t="array" aca="1" ref="H10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03" s="498" t="str">
        <f ca="1">IF(Inventarisatie[[#This Row],[Freq. Ma-Vr]]=0,0,IF(ISNUMBER(SEARCH("/",_xlfn.XLOOKUP(Inventarisatie[[#This Row],[Locatie]],Tabel2[Locatiecode],Tabel2[Basisfrequentie],0,0))),VLOOKUP("za",WkDagen[],YEAR(NOW())-2020,FALSE),""))</f>
        <v/>
      </c>
      <c r="J10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03" s="498" t="str">
        <f ca="1">IF(Inventarisatie[[#This Row],[Freq. Ma-Vr]]=0,0,IF(_xlfn.XLOOKUP(Inventarisatie[[#This Row],[Locatie]],Tabel2[Locatiecode],Tabel2[Basisfrequentie],0,0)=Locatieoverzicht!$F$47,VLOOKUP("fe",WkDagen[],YEAR(NOW())-2020,FALSE),""))</f>
        <v/>
      </c>
    </row>
    <row r="104" spans="1:11" x14ac:dyDescent="0.2">
      <c r="A104" s="501" t="s">
        <v>36</v>
      </c>
      <c r="B104" s="492" t="s">
        <v>303</v>
      </c>
      <c r="C104" s="501" t="s">
        <v>49</v>
      </c>
      <c r="D104" s="491" t="s">
        <v>307</v>
      </c>
      <c r="E104" s="501" t="s">
        <v>26</v>
      </c>
      <c r="F104" s="502" t="s">
        <v>39</v>
      </c>
      <c r="G104" s="494">
        <v>61</v>
      </c>
      <c r="H104" s="495" cm="1">
        <f t="array" aca="1" ref="H10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04" s="498" t="str">
        <f ca="1">IF(Inventarisatie[[#This Row],[Freq. Ma-Vr]]=0,0,IF(ISNUMBER(SEARCH("/",_xlfn.XLOOKUP(Inventarisatie[[#This Row],[Locatie]],Tabel2[Locatiecode],Tabel2[Basisfrequentie],0,0))),VLOOKUP("za",WkDagen[],YEAR(NOW())-2020,FALSE),""))</f>
        <v/>
      </c>
      <c r="J10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04" s="498" t="str">
        <f ca="1">IF(Inventarisatie[[#This Row],[Freq. Ma-Vr]]=0,0,IF(_xlfn.XLOOKUP(Inventarisatie[[#This Row],[Locatie]],Tabel2[Locatiecode],Tabel2[Basisfrequentie],0,0)=Locatieoverzicht!$F$47,VLOOKUP("fe",WkDagen[],YEAR(NOW())-2020,FALSE),""))</f>
        <v/>
      </c>
    </row>
    <row r="105" spans="1:11" x14ac:dyDescent="0.2">
      <c r="A105" s="501" t="s">
        <v>36</v>
      </c>
      <c r="B105" s="492" t="s">
        <v>303</v>
      </c>
      <c r="C105" s="501" t="s">
        <v>50</v>
      </c>
      <c r="D105" s="491" t="s">
        <v>307</v>
      </c>
      <c r="E105" s="501" t="s">
        <v>26</v>
      </c>
      <c r="F105" s="502" t="s">
        <v>39</v>
      </c>
      <c r="G105" s="494">
        <v>46</v>
      </c>
      <c r="H105" s="495" cm="1">
        <f t="array" aca="1" ref="H10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05" s="498" t="str">
        <f ca="1">IF(Inventarisatie[[#This Row],[Freq. Ma-Vr]]=0,0,IF(ISNUMBER(SEARCH("/",_xlfn.XLOOKUP(Inventarisatie[[#This Row],[Locatie]],Tabel2[Locatiecode],Tabel2[Basisfrequentie],0,0))),VLOOKUP("za",WkDagen[],YEAR(NOW())-2020,FALSE),""))</f>
        <v/>
      </c>
      <c r="J10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05" s="498" t="str">
        <f ca="1">IF(Inventarisatie[[#This Row],[Freq. Ma-Vr]]=0,0,IF(_xlfn.XLOOKUP(Inventarisatie[[#This Row],[Locatie]],Tabel2[Locatiecode],Tabel2[Basisfrequentie],0,0)=Locatieoverzicht!$F$47,VLOOKUP("fe",WkDagen[],YEAR(NOW())-2020,FALSE),""))</f>
        <v/>
      </c>
    </row>
    <row r="106" spans="1:11" x14ac:dyDescent="0.2">
      <c r="A106" s="501" t="s">
        <v>36</v>
      </c>
      <c r="B106" s="492" t="s">
        <v>303</v>
      </c>
      <c r="C106" s="501" t="s">
        <v>51</v>
      </c>
      <c r="D106" s="491" t="s">
        <v>307</v>
      </c>
      <c r="E106" s="501" t="s">
        <v>26</v>
      </c>
      <c r="F106" s="502" t="s">
        <v>39</v>
      </c>
      <c r="G106" s="494">
        <v>37</v>
      </c>
      <c r="H106" s="495" cm="1">
        <f t="array" aca="1" ref="H10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06" s="498" t="str">
        <f ca="1">IF(Inventarisatie[[#This Row],[Freq. Ma-Vr]]=0,0,IF(ISNUMBER(SEARCH("/",_xlfn.XLOOKUP(Inventarisatie[[#This Row],[Locatie]],Tabel2[Locatiecode],Tabel2[Basisfrequentie],0,0))),VLOOKUP("za",WkDagen[],YEAR(NOW())-2020,FALSE),""))</f>
        <v/>
      </c>
      <c r="J10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06" s="498" t="str">
        <f ca="1">IF(Inventarisatie[[#This Row],[Freq. Ma-Vr]]=0,0,IF(_xlfn.XLOOKUP(Inventarisatie[[#This Row],[Locatie]],Tabel2[Locatiecode],Tabel2[Basisfrequentie],0,0)=Locatieoverzicht!$F$47,VLOOKUP("fe",WkDagen[],YEAR(NOW())-2020,FALSE),""))</f>
        <v/>
      </c>
    </row>
    <row r="107" spans="1:11" x14ac:dyDescent="0.2">
      <c r="A107" s="501" t="s">
        <v>36</v>
      </c>
      <c r="B107" s="492" t="s">
        <v>303</v>
      </c>
      <c r="C107" s="501" t="s">
        <v>52</v>
      </c>
      <c r="D107" s="491" t="s">
        <v>307</v>
      </c>
      <c r="E107" s="501" t="s">
        <v>26</v>
      </c>
      <c r="F107" s="502" t="s">
        <v>39</v>
      </c>
      <c r="G107" s="494">
        <v>37</v>
      </c>
      <c r="H107" s="495" cm="1">
        <f t="array" aca="1" ref="H10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07" s="498" t="str">
        <f ca="1">IF(Inventarisatie[[#This Row],[Freq. Ma-Vr]]=0,0,IF(ISNUMBER(SEARCH("/",_xlfn.XLOOKUP(Inventarisatie[[#This Row],[Locatie]],Tabel2[Locatiecode],Tabel2[Basisfrequentie],0,0))),VLOOKUP("za",WkDagen[],YEAR(NOW())-2020,FALSE),""))</f>
        <v/>
      </c>
      <c r="J10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07" s="498" t="str">
        <f ca="1">IF(Inventarisatie[[#This Row],[Freq. Ma-Vr]]=0,0,IF(_xlfn.XLOOKUP(Inventarisatie[[#This Row],[Locatie]],Tabel2[Locatiecode],Tabel2[Basisfrequentie],0,0)=Locatieoverzicht!$F$47,VLOOKUP("fe",WkDagen[],YEAR(NOW())-2020,FALSE),""))</f>
        <v/>
      </c>
    </row>
    <row r="108" spans="1:11" x14ac:dyDescent="0.2">
      <c r="A108" s="501" t="s">
        <v>36</v>
      </c>
      <c r="B108" s="492" t="s">
        <v>303</v>
      </c>
      <c r="C108" s="501" t="s">
        <v>53</v>
      </c>
      <c r="D108" s="491" t="s">
        <v>307</v>
      </c>
      <c r="E108" s="501" t="s">
        <v>26</v>
      </c>
      <c r="F108" s="502" t="s">
        <v>39</v>
      </c>
      <c r="G108" s="494">
        <v>18</v>
      </c>
      <c r="H108" s="495" cm="1">
        <f t="array" aca="1" ref="H10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08" s="498" t="str">
        <f ca="1">IF(Inventarisatie[[#This Row],[Freq. Ma-Vr]]=0,0,IF(ISNUMBER(SEARCH("/",_xlfn.XLOOKUP(Inventarisatie[[#This Row],[Locatie]],Tabel2[Locatiecode],Tabel2[Basisfrequentie],0,0))),VLOOKUP("za",WkDagen[],YEAR(NOW())-2020,FALSE),""))</f>
        <v/>
      </c>
      <c r="J10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08" s="498" t="str">
        <f ca="1">IF(Inventarisatie[[#This Row],[Freq. Ma-Vr]]=0,0,IF(_xlfn.XLOOKUP(Inventarisatie[[#This Row],[Locatie]],Tabel2[Locatiecode],Tabel2[Basisfrequentie],0,0)=Locatieoverzicht!$F$47,VLOOKUP("fe",WkDagen[],YEAR(NOW())-2020,FALSE),""))</f>
        <v/>
      </c>
    </row>
    <row r="109" spans="1:11" x14ac:dyDescent="0.2">
      <c r="A109" s="501" t="s">
        <v>36</v>
      </c>
      <c r="B109" s="492" t="s">
        <v>303</v>
      </c>
      <c r="C109" s="501" t="s">
        <v>54</v>
      </c>
      <c r="D109" s="499" t="s">
        <v>308</v>
      </c>
      <c r="E109" s="501" t="s">
        <v>35</v>
      </c>
      <c r="F109" s="502" t="s">
        <v>39</v>
      </c>
      <c r="G109" s="494">
        <v>29</v>
      </c>
      <c r="H109" s="495" cm="1">
        <f t="array" aca="1" ref="H10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09" s="498" t="str">
        <f ca="1">IF(Inventarisatie[[#This Row],[Freq. Ma-Vr]]=0,0,IF(ISNUMBER(SEARCH("/",_xlfn.XLOOKUP(Inventarisatie[[#This Row],[Locatie]],Tabel2[Locatiecode],Tabel2[Basisfrequentie],0,0))),VLOOKUP("za",WkDagen[],YEAR(NOW())-2020,FALSE),""))</f>
        <v/>
      </c>
      <c r="J10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09" s="498" t="str">
        <f ca="1">IF(Inventarisatie[[#This Row],[Freq. Ma-Vr]]=0,0,IF(_xlfn.XLOOKUP(Inventarisatie[[#This Row],[Locatie]],Tabel2[Locatiecode],Tabel2[Basisfrequentie],0,0)=Locatieoverzicht!$F$47,VLOOKUP("fe",WkDagen[],YEAR(NOW())-2020,FALSE),""))</f>
        <v/>
      </c>
    </row>
    <row r="110" spans="1:11" x14ac:dyDescent="0.2">
      <c r="A110" s="501" t="s">
        <v>36</v>
      </c>
      <c r="B110" s="492" t="s">
        <v>303</v>
      </c>
      <c r="C110" s="501" t="s">
        <v>55</v>
      </c>
      <c r="D110" s="491" t="s">
        <v>307</v>
      </c>
      <c r="E110" s="501" t="s">
        <v>26</v>
      </c>
      <c r="F110" s="502" t="s">
        <v>39</v>
      </c>
      <c r="G110" s="494">
        <v>37</v>
      </c>
      <c r="H110" s="495" cm="1">
        <f t="array" aca="1" ref="H11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10" s="498" t="str">
        <f ca="1">IF(Inventarisatie[[#This Row],[Freq. Ma-Vr]]=0,0,IF(ISNUMBER(SEARCH("/",_xlfn.XLOOKUP(Inventarisatie[[#This Row],[Locatie]],Tabel2[Locatiecode],Tabel2[Basisfrequentie],0,0))),VLOOKUP("za",WkDagen[],YEAR(NOW())-2020,FALSE),""))</f>
        <v/>
      </c>
      <c r="J11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10" s="498" t="str">
        <f ca="1">IF(Inventarisatie[[#This Row],[Freq. Ma-Vr]]=0,0,IF(_xlfn.XLOOKUP(Inventarisatie[[#This Row],[Locatie]],Tabel2[Locatiecode],Tabel2[Basisfrequentie],0,0)=Locatieoverzicht!$F$47,VLOOKUP("fe",WkDagen[],YEAR(NOW())-2020,FALSE),""))</f>
        <v/>
      </c>
    </row>
    <row r="111" spans="1:11" x14ac:dyDescent="0.2">
      <c r="A111" s="501" t="s">
        <v>36</v>
      </c>
      <c r="B111" s="492" t="s">
        <v>303</v>
      </c>
      <c r="C111" s="501" t="s">
        <v>56</v>
      </c>
      <c r="D111" s="491" t="s">
        <v>307</v>
      </c>
      <c r="E111" s="501" t="s">
        <v>26</v>
      </c>
      <c r="F111" s="502" t="s">
        <v>39</v>
      </c>
      <c r="G111" s="494">
        <v>28</v>
      </c>
      <c r="H111" s="495" cm="1">
        <f t="array" aca="1" ref="H11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11" s="498" t="str">
        <f ca="1">IF(Inventarisatie[[#This Row],[Freq. Ma-Vr]]=0,0,IF(ISNUMBER(SEARCH("/",_xlfn.XLOOKUP(Inventarisatie[[#This Row],[Locatie]],Tabel2[Locatiecode],Tabel2[Basisfrequentie],0,0))),VLOOKUP("za",WkDagen[],YEAR(NOW())-2020,FALSE),""))</f>
        <v/>
      </c>
      <c r="J11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11" s="498" t="str">
        <f ca="1">IF(Inventarisatie[[#This Row],[Freq. Ma-Vr]]=0,0,IF(_xlfn.XLOOKUP(Inventarisatie[[#This Row],[Locatie]],Tabel2[Locatiecode],Tabel2[Basisfrequentie],0,0)=Locatieoverzicht!$F$47,VLOOKUP("fe",WkDagen[],YEAR(NOW())-2020,FALSE),""))</f>
        <v/>
      </c>
    </row>
    <row r="112" spans="1:11" x14ac:dyDescent="0.2">
      <c r="A112" s="501" t="s">
        <v>36</v>
      </c>
      <c r="B112" s="492" t="s">
        <v>303</v>
      </c>
      <c r="C112" s="510" t="s">
        <v>57</v>
      </c>
      <c r="D112" s="491" t="s">
        <v>307</v>
      </c>
      <c r="E112" s="501" t="s">
        <v>26</v>
      </c>
      <c r="F112" s="502" t="s">
        <v>39</v>
      </c>
      <c r="G112" s="494">
        <v>57</v>
      </c>
      <c r="H112" s="495" cm="1">
        <f t="array" aca="1" ref="H11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12" s="498" t="str">
        <f ca="1">IF(Inventarisatie[[#This Row],[Freq. Ma-Vr]]=0,0,IF(ISNUMBER(SEARCH("/",_xlfn.XLOOKUP(Inventarisatie[[#This Row],[Locatie]],Tabel2[Locatiecode],Tabel2[Basisfrequentie],0,0))),VLOOKUP("za",WkDagen[],YEAR(NOW())-2020,FALSE),""))</f>
        <v/>
      </c>
      <c r="J11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12" s="498" t="str">
        <f ca="1">IF(Inventarisatie[[#This Row],[Freq. Ma-Vr]]=0,0,IF(_xlfn.XLOOKUP(Inventarisatie[[#This Row],[Locatie]],Tabel2[Locatiecode],Tabel2[Basisfrequentie],0,0)=Locatieoverzicht!$F$47,VLOOKUP("fe",WkDagen[],YEAR(NOW())-2020,FALSE),""))</f>
        <v/>
      </c>
    </row>
    <row r="113" spans="1:11" x14ac:dyDescent="0.2">
      <c r="A113" s="501" t="s">
        <v>36</v>
      </c>
      <c r="B113" s="492" t="s">
        <v>303</v>
      </c>
      <c r="C113" s="510" t="s">
        <v>58</v>
      </c>
      <c r="D113" s="491" t="s">
        <v>307</v>
      </c>
      <c r="E113" s="501" t="s">
        <v>26</v>
      </c>
      <c r="F113" s="502" t="s">
        <v>39</v>
      </c>
      <c r="G113" s="494">
        <v>18</v>
      </c>
      <c r="H113" s="495" cm="1">
        <f t="array" aca="1" ref="H11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13" s="498" t="str">
        <f ca="1">IF(Inventarisatie[[#This Row],[Freq. Ma-Vr]]=0,0,IF(ISNUMBER(SEARCH("/",_xlfn.XLOOKUP(Inventarisatie[[#This Row],[Locatie]],Tabel2[Locatiecode],Tabel2[Basisfrequentie],0,0))),VLOOKUP("za",WkDagen[],YEAR(NOW())-2020,FALSE),""))</f>
        <v/>
      </c>
      <c r="J11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13" s="498" t="str">
        <f ca="1">IF(Inventarisatie[[#This Row],[Freq. Ma-Vr]]=0,0,IF(_xlfn.XLOOKUP(Inventarisatie[[#This Row],[Locatie]],Tabel2[Locatiecode],Tabel2[Basisfrequentie],0,0)=Locatieoverzicht!$F$47,VLOOKUP("fe",WkDagen[],YEAR(NOW())-2020,FALSE),""))</f>
        <v/>
      </c>
    </row>
    <row r="114" spans="1:11" x14ac:dyDescent="0.2">
      <c r="A114" s="501" t="s">
        <v>36</v>
      </c>
      <c r="B114" s="492" t="s">
        <v>303</v>
      </c>
      <c r="C114" s="501" t="s">
        <v>59</v>
      </c>
      <c r="D114" s="491" t="s">
        <v>307</v>
      </c>
      <c r="E114" s="501" t="s">
        <v>26</v>
      </c>
      <c r="F114" s="502" t="s">
        <v>39</v>
      </c>
      <c r="G114" s="494">
        <v>17</v>
      </c>
      <c r="H114" s="495" cm="1">
        <f t="array" aca="1" ref="H11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14" s="498" t="str">
        <f ca="1">IF(Inventarisatie[[#This Row],[Freq. Ma-Vr]]=0,0,IF(ISNUMBER(SEARCH("/",_xlfn.XLOOKUP(Inventarisatie[[#This Row],[Locatie]],Tabel2[Locatiecode],Tabel2[Basisfrequentie],0,0))),VLOOKUP("za",WkDagen[],YEAR(NOW())-2020,FALSE),""))</f>
        <v/>
      </c>
      <c r="J11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14" s="498" t="str">
        <f ca="1">IF(Inventarisatie[[#This Row],[Freq. Ma-Vr]]=0,0,IF(_xlfn.XLOOKUP(Inventarisatie[[#This Row],[Locatie]],Tabel2[Locatiecode],Tabel2[Basisfrequentie],0,0)=Locatieoverzicht!$F$47,VLOOKUP("fe",WkDagen[],YEAR(NOW())-2020,FALSE),""))</f>
        <v/>
      </c>
    </row>
    <row r="115" spans="1:11" x14ac:dyDescent="0.2">
      <c r="A115" s="493" t="s">
        <v>61</v>
      </c>
      <c r="B115" s="492" t="s">
        <v>301</v>
      </c>
      <c r="C115" s="493" t="s">
        <v>60</v>
      </c>
      <c r="D115" s="491" t="s">
        <v>312</v>
      </c>
      <c r="E115" s="493" t="s">
        <v>37</v>
      </c>
      <c r="F115" s="493" t="s">
        <v>39</v>
      </c>
      <c r="G115" s="494">
        <v>4.8</v>
      </c>
      <c r="H115" s="495" cm="1">
        <f t="array" aca="1" ref="H11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15" s="498" t="str">
        <f ca="1">IF(Inventarisatie[[#This Row],[Freq. Ma-Vr]]=0,0,IF(ISNUMBER(SEARCH("/",_xlfn.XLOOKUP(Inventarisatie[[#This Row],[Locatie]],Tabel2[Locatiecode],Tabel2[Basisfrequentie],0,0))),VLOOKUP("za",WkDagen[],YEAR(NOW())-2020,FALSE),""))</f>
        <v/>
      </c>
      <c r="J11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15" s="498" t="str">
        <f ca="1">IF(Inventarisatie[[#This Row],[Freq. Ma-Vr]]=0,0,IF(_xlfn.XLOOKUP(Inventarisatie[[#This Row],[Locatie]],Tabel2[Locatiecode],Tabel2[Basisfrequentie],0,0)=Locatieoverzicht!$F$47,VLOOKUP("fe",WkDagen[],YEAR(NOW())-2020,FALSE),""))</f>
        <v/>
      </c>
    </row>
    <row r="116" spans="1:11" x14ac:dyDescent="0.2">
      <c r="A116" s="493" t="s">
        <v>61</v>
      </c>
      <c r="B116" s="492" t="s">
        <v>301</v>
      </c>
      <c r="C116" s="493" t="s">
        <v>62</v>
      </c>
      <c r="D116" s="491" t="s">
        <v>310</v>
      </c>
      <c r="E116" s="493" t="s">
        <v>19</v>
      </c>
      <c r="F116" s="497" t="s">
        <v>63</v>
      </c>
      <c r="G116" s="494">
        <v>43.8</v>
      </c>
      <c r="H116" s="495" cm="1">
        <f t="array" aca="1" ref="H11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16" s="498" t="str">
        <f ca="1">IF(Inventarisatie[[#This Row],[Freq. Ma-Vr]]=0,0,IF(ISNUMBER(SEARCH("/",_xlfn.XLOOKUP(Inventarisatie[[#This Row],[Locatie]],Tabel2[Locatiecode],Tabel2[Basisfrequentie],0,0))),VLOOKUP("za",WkDagen[],YEAR(NOW())-2020,FALSE),""))</f>
        <v/>
      </c>
      <c r="J11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16" s="498" t="str">
        <f ca="1">IF(Inventarisatie[[#This Row],[Freq. Ma-Vr]]=0,0,IF(_xlfn.XLOOKUP(Inventarisatie[[#This Row],[Locatie]],Tabel2[Locatiecode],Tabel2[Basisfrequentie],0,0)=Locatieoverzicht!$F$47,VLOOKUP("fe",WkDagen[],YEAR(NOW())-2020,FALSE),""))</f>
        <v/>
      </c>
    </row>
    <row r="117" spans="1:11" x14ac:dyDescent="0.2">
      <c r="A117" s="491" t="s">
        <v>61</v>
      </c>
      <c r="B117" s="492" t="s">
        <v>301</v>
      </c>
      <c r="C117" s="493" t="s">
        <v>64</v>
      </c>
      <c r="D117" s="491" t="s">
        <v>312</v>
      </c>
      <c r="E117" s="493" t="s">
        <v>41</v>
      </c>
      <c r="F117" s="493" t="s">
        <v>6</v>
      </c>
      <c r="G117" s="494">
        <v>34.700000000000003</v>
      </c>
      <c r="H117" s="495" cm="1">
        <f t="array" aca="1" ref="H11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17" s="498" t="str">
        <f ca="1">IF(Inventarisatie[[#This Row],[Freq. Ma-Vr]]=0,0,IF(ISNUMBER(SEARCH("/",_xlfn.XLOOKUP(Inventarisatie[[#This Row],[Locatie]],Tabel2[Locatiecode],Tabel2[Basisfrequentie],0,0))),VLOOKUP("za",WkDagen[],YEAR(NOW())-2020,FALSE),""))</f>
        <v/>
      </c>
      <c r="J11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17" s="498" t="str">
        <f ca="1">IF(Inventarisatie[[#This Row],[Freq. Ma-Vr]]=0,0,IF(_xlfn.XLOOKUP(Inventarisatie[[#This Row],[Locatie]],Tabel2[Locatiecode],Tabel2[Basisfrequentie],0,0)=Locatieoverzicht!$F$47,VLOOKUP("fe",WkDagen[],YEAR(NOW())-2020,FALSE),""))</f>
        <v/>
      </c>
    </row>
    <row r="118" spans="1:11" x14ac:dyDescent="0.2">
      <c r="A118" s="493" t="s">
        <v>61</v>
      </c>
      <c r="B118" s="492" t="s">
        <v>301</v>
      </c>
      <c r="C118" s="493" t="s">
        <v>65</v>
      </c>
      <c r="D118" s="491" t="s">
        <v>310</v>
      </c>
      <c r="E118" s="493" t="s">
        <v>5</v>
      </c>
      <c r="F118" s="497" t="s">
        <v>6</v>
      </c>
      <c r="G118" s="494">
        <v>21.9</v>
      </c>
      <c r="H118" s="495" cm="1">
        <f t="array" aca="1" ref="H11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18" s="498" t="str">
        <f ca="1">IF(Inventarisatie[[#This Row],[Freq. Ma-Vr]]=0,0,IF(ISNUMBER(SEARCH("/",_xlfn.XLOOKUP(Inventarisatie[[#This Row],[Locatie]],Tabel2[Locatiecode],Tabel2[Basisfrequentie],0,0))),VLOOKUP("za",WkDagen[],YEAR(NOW())-2020,FALSE),""))</f>
        <v/>
      </c>
      <c r="J11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18" s="498" t="str">
        <f ca="1">IF(Inventarisatie[[#This Row],[Freq. Ma-Vr]]=0,0,IF(_xlfn.XLOOKUP(Inventarisatie[[#This Row],[Locatie]],Tabel2[Locatiecode],Tabel2[Basisfrequentie],0,0)=Locatieoverzicht!$F$47,VLOOKUP("fe",WkDagen[],YEAR(NOW())-2020,FALSE),""))</f>
        <v/>
      </c>
    </row>
    <row r="119" spans="1:11" x14ac:dyDescent="0.2">
      <c r="A119" s="491" t="s">
        <v>61</v>
      </c>
      <c r="B119" s="492" t="s">
        <v>301</v>
      </c>
      <c r="C119" s="493" t="s">
        <v>66</v>
      </c>
      <c r="D119" s="491" t="s">
        <v>310</v>
      </c>
      <c r="E119" s="493" t="s">
        <v>5</v>
      </c>
      <c r="F119" s="493" t="s">
        <v>6</v>
      </c>
      <c r="G119" s="494">
        <v>22.5</v>
      </c>
      <c r="H119" s="495" cm="1">
        <f t="array" aca="1" ref="H11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19" s="498" t="str">
        <f ca="1">IF(Inventarisatie[[#This Row],[Freq. Ma-Vr]]=0,0,IF(ISNUMBER(SEARCH("/",_xlfn.XLOOKUP(Inventarisatie[[#This Row],[Locatie]],Tabel2[Locatiecode],Tabel2[Basisfrequentie],0,0))),VLOOKUP("za",WkDagen[],YEAR(NOW())-2020,FALSE),""))</f>
        <v/>
      </c>
      <c r="J11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19" s="498" t="str">
        <f ca="1">IF(Inventarisatie[[#This Row],[Freq. Ma-Vr]]=0,0,IF(_xlfn.XLOOKUP(Inventarisatie[[#This Row],[Locatie]],Tabel2[Locatiecode],Tabel2[Basisfrequentie],0,0)=Locatieoverzicht!$F$47,VLOOKUP("fe",WkDagen[],YEAR(NOW())-2020,FALSE),""))</f>
        <v/>
      </c>
    </row>
    <row r="120" spans="1:11" x14ac:dyDescent="0.2">
      <c r="A120" s="493" t="s">
        <v>61</v>
      </c>
      <c r="B120" s="492" t="s">
        <v>301</v>
      </c>
      <c r="C120" s="493" t="s">
        <v>67</v>
      </c>
      <c r="D120" s="491" t="s">
        <v>310</v>
      </c>
      <c r="E120" s="493" t="s">
        <v>5</v>
      </c>
      <c r="F120" s="497" t="s">
        <v>6</v>
      </c>
      <c r="G120" s="494">
        <v>21.1</v>
      </c>
      <c r="H120" s="495" cm="1">
        <f t="array" aca="1" ref="H12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20" s="498" t="str">
        <f ca="1">IF(Inventarisatie[[#This Row],[Freq. Ma-Vr]]=0,0,IF(ISNUMBER(SEARCH("/",_xlfn.XLOOKUP(Inventarisatie[[#This Row],[Locatie]],Tabel2[Locatiecode],Tabel2[Basisfrequentie],0,0))),VLOOKUP("za",WkDagen[],YEAR(NOW())-2020,FALSE),""))</f>
        <v/>
      </c>
      <c r="J12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20" s="498" t="str">
        <f ca="1">IF(Inventarisatie[[#This Row],[Freq. Ma-Vr]]=0,0,IF(_xlfn.XLOOKUP(Inventarisatie[[#This Row],[Locatie]],Tabel2[Locatiecode],Tabel2[Basisfrequentie],0,0)=Locatieoverzicht!$F$47,VLOOKUP("fe",WkDagen[],YEAR(NOW())-2020,FALSE),""))</f>
        <v/>
      </c>
    </row>
    <row r="121" spans="1:11" x14ac:dyDescent="0.2">
      <c r="A121" s="491" t="s">
        <v>61</v>
      </c>
      <c r="B121" s="492" t="s">
        <v>301</v>
      </c>
      <c r="C121" s="493" t="s">
        <v>68</v>
      </c>
      <c r="D121" s="491" t="s">
        <v>24</v>
      </c>
      <c r="E121" s="493" t="s">
        <v>24</v>
      </c>
      <c r="F121" s="493" t="s">
        <v>6</v>
      </c>
      <c r="G121" s="494">
        <v>44</v>
      </c>
      <c r="H121" s="495" cm="1">
        <f t="array" aca="1" ref="H12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21" s="498" t="str">
        <f ca="1">IF(Inventarisatie[[#This Row],[Freq. Ma-Vr]]=0,0,IF(ISNUMBER(SEARCH("/",_xlfn.XLOOKUP(Inventarisatie[[#This Row],[Locatie]],Tabel2[Locatiecode],Tabel2[Basisfrequentie],0,0))),VLOOKUP("za",WkDagen[],YEAR(NOW())-2020,FALSE),""))</f>
        <v/>
      </c>
      <c r="J12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21" s="498" t="str">
        <f ca="1">IF(Inventarisatie[[#This Row],[Freq. Ma-Vr]]=0,0,IF(_xlfn.XLOOKUP(Inventarisatie[[#This Row],[Locatie]],Tabel2[Locatiecode],Tabel2[Basisfrequentie],0,0)=Locatieoverzicht!$F$47,VLOOKUP("fe",WkDagen[],YEAR(NOW())-2020,FALSE),""))</f>
        <v/>
      </c>
    </row>
    <row r="122" spans="1:11" x14ac:dyDescent="0.2">
      <c r="A122" s="493" t="s">
        <v>61</v>
      </c>
      <c r="B122" s="492" t="s">
        <v>301</v>
      </c>
      <c r="C122" s="493" t="s">
        <v>69</v>
      </c>
      <c r="D122" s="491" t="s">
        <v>312</v>
      </c>
      <c r="E122" s="493" t="s">
        <v>41</v>
      </c>
      <c r="F122" s="497" t="s">
        <v>6</v>
      </c>
      <c r="G122" s="494">
        <v>4.2</v>
      </c>
      <c r="H122" s="495" cm="1">
        <f t="array" aca="1" ref="H12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22" s="498" t="str">
        <f ca="1">IF(Inventarisatie[[#This Row],[Freq. Ma-Vr]]=0,0,IF(ISNUMBER(SEARCH("/",_xlfn.XLOOKUP(Inventarisatie[[#This Row],[Locatie]],Tabel2[Locatiecode],Tabel2[Basisfrequentie],0,0))),VLOOKUP("za",WkDagen[],YEAR(NOW())-2020,FALSE),""))</f>
        <v/>
      </c>
      <c r="J12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22" s="498" t="str">
        <f ca="1">IF(Inventarisatie[[#This Row],[Freq. Ma-Vr]]=0,0,IF(_xlfn.XLOOKUP(Inventarisatie[[#This Row],[Locatie]],Tabel2[Locatiecode],Tabel2[Basisfrequentie],0,0)=Locatieoverzicht!$F$47,VLOOKUP("fe",WkDagen[],YEAR(NOW())-2020,FALSE),""))</f>
        <v/>
      </c>
    </row>
    <row r="123" spans="1:11" x14ac:dyDescent="0.2">
      <c r="A123" s="491" t="s">
        <v>61</v>
      </c>
      <c r="B123" s="492" t="s">
        <v>301</v>
      </c>
      <c r="C123" s="493" t="s">
        <v>70</v>
      </c>
      <c r="D123" s="491" t="s">
        <v>311</v>
      </c>
      <c r="E123" s="493" t="s">
        <v>16</v>
      </c>
      <c r="F123" s="493" t="s">
        <v>17</v>
      </c>
      <c r="G123" s="494">
        <v>1</v>
      </c>
      <c r="H123" s="495" cm="1">
        <f t="array" aca="1" ref="H12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23" s="498" t="str">
        <f ca="1">IF(Inventarisatie[[#This Row],[Freq. Ma-Vr]]=0,0,IF(ISNUMBER(SEARCH("/",_xlfn.XLOOKUP(Inventarisatie[[#This Row],[Locatie]],Tabel2[Locatiecode],Tabel2[Basisfrequentie],0,0))),VLOOKUP("za",WkDagen[],YEAR(NOW())-2020,FALSE),""))</f>
        <v/>
      </c>
      <c r="J12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23" s="498" t="str">
        <f ca="1">IF(Inventarisatie[[#This Row],[Freq. Ma-Vr]]=0,0,IF(_xlfn.XLOOKUP(Inventarisatie[[#This Row],[Locatie]],Tabel2[Locatiecode],Tabel2[Basisfrequentie],0,0)=Locatieoverzicht!$F$47,VLOOKUP("fe",WkDagen[],YEAR(NOW())-2020,FALSE),""))</f>
        <v/>
      </c>
    </row>
    <row r="124" spans="1:11" x14ac:dyDescent="0.2">
      <c r="A124" s="493" t="s">
        <v>61</v>
      </c>
      <c r="B124" s="492" t="s">
        <v>301</v>
      </c>
      <c r="C124" s="493" t="s">
        <v>71</v>
      </c>
      <c r="D124" s="491" t="s">
        <v>310</v>
      </c>
      <c r="E124" s="493" t="s">
        <v>5</v>
      </c>
      <c r="F124" s="497" t="s">
        <v>6</v>
      </c>
      <c r="G124" s="494">
        <v>23</v>
      </c>
      <c r="H124" s="495" cm="1">
        <f t="array" aca="1" ref="H12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24" s="498" t="str">
        <f ca="1">IF(Inventarisatie[[#This Row],[Freq. Ma-Vr]]=0,0,IF(ISNUMBER(SEARCH("/",_xlfn.XLOOKUP(Inventarisatie[[#This Row],[Locatie]],Tabel2[Locatiecode],Tabel2[Basisfrequentie],0,0))),VLOOKUP("za",WkDagen[],YEAR(NOW())-2020,FALSE),""))</f>
        <v/>
      </c>
      <c r="J12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24" s="498" t="str">
        <f ca="1">IF(Inventarisatie[[#This Row],[Freq. Ma-Vr]]=0,0,IF(_xlfn.XLOOKUP(Inventarisatie[[#This Row],[Locatie]],Tabel2[Locatiecode],Tabel2[Basisfrequentie],0,0)=Locatieoverzicht!$F$47,VLOOKUP("fe",WkDagen[],YEAR(NOW())-2020,FALSE),""))</f>
        <v/>
      </c>
    </row>
    <row r="125" spans="1:11" x14ac:dyDescent="0.2">
      <c r="A125" s="491" t="s">
        <v>61</v>
      </c>
      <c r="B125" s="492" t="s">
        <v>301</v>
      </c>
      <c r="C125" s="493" t="s">
        <v>72</v>
      </c>
      <c r="D125" s="491" t="s">
        <v>312</v>
      </c>
      <c r="E125" s="493" t="s">
        <v>21</v>
      </c>
      <c r="F125" s="493" t="s">
        <v>6</v>
      </c>
      <c r="G125" s="494">
        <v>4.3</v>
      </c>
      <c r="H125" s="495" cm="1">
        <f t="array" aca="1" ref="H12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25" s="498" t="str">
        <f ca="1">IF(Inventarisatie[[#This Row],[Freq. Ma-Vr]]=0,0,IF(ISNUMBER(SEARCH("/",_xlfn.XLOOKUP(Inventarisatie[[#This Row],[Locatie]],Tabel2[Locatiecode],Tabel2[Basisfrequentie],0,0))),VLOOKUP("za",WkDagen[],YEAR(NOW())-2020,FALSE),""))</f>
        <v/>
      </c>
      <c r="J12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25" s="498" t="str">
        <f ca="1">IF(Inventarisatie[[#This Row],[Freq. Ma-Vr]]=0,0,IF(_xlfn.XLOOKUP(Inventarisatie[[#This Row],[Locatie]],Tabel2[Locatiecode],Tabel2[Basisfrequentie],0,0)=Locatieoverzicht!$F$47,VLOOKUP("fe",WkDagen[],YEAR(NOW())-2020,FALSE),""))</f>
        <v/>
      </c>
    </row>
    <row r="126" spans="1:11" x14ac:dyDescent="0.2">
      <c r="A126" s="493" t="s">
        <v>61</v>
      </c>
      <c r="B126" s="492" t="s">
        <v>301</v>
      </c>
      <c r="C126" s="493" t="s">
        <v>73</v>
      </c>
      <c r="D126" s="491" t="s">
        <v>310</v>
      </c>
      <c r="E126" s="493" t="s">
        <v>5</v>
      </c>
      <c r="F126" s="497" t="s">
        <v>6</v>
      </c>
      <c r="G126" s="494">
        <v>18.5</v>
      </c>
      <c r="H126" s="495" cm="1">
        <f t="array" aca="1" ref="H12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26" s="498" t="str">
        <f ca="1">IF(Inventarisatie[[#This Row],[Freq. Ma-Vr]]=0,0,IF(ISNUMBER(SEARCH("/",_xlfn.XLOOKUP(Inventarisatie[[#This Row],[Locatie]],Tabel2[Locatiecode],Tabel2[Basisfrequentie],0,0))),VLOOKUP("za",WkDagen[],YEAR(NOW())-2020,FALSE),""))</f>
        <v/>
      </c>
      <c r="J12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26" s="498" t="str">
        <f ca="1">IF(Inventarisatie[[#This Row],[Freq. Ma-Vr]]=0,0,IF(_xlfn.XLOOKUP(Inventarisatie[[#This Row],[Locatie]],Tabel2[Locatiecode],Tabel2[Basisfrequentie],0,0)=Locatieoverzicht!$F$47,VLOOKUP("fe",WkDagen[],YEAR(NOW())-2020,FALSE),""))</f>
        <v/>
      </c>
    </row>
    <row r="127" spans="1:11" x14ac:dyDescent="0.2">
      <c r="A127" s="491" t="s">
        <v>61</v>
      </c>
      <c r="B127" s="492" t="s">
        <v>301</v>
      </c>
      <c r="C127" s="493" t="s">
        <v>74</v>
      </c>
      <c r="D127" s="491" t="s">
        <v>312</v>
      </c>
      <c r="E127" s="493" t="s">
        <v>41</v>
      </c>
      <c r="F127" s="493" t="s">
        <v>6</v>
      </c>
      <c r="G127" s="494">
        <v>9.4</v>
      </c>
      <c r="H127" s="495" cm="1">
        <f t="array" aca="1" ref="H12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27" s="498" t="str">
        <f ca="1">IF(Inventarisatie[[#This Row],[Freq. Ma-Vr]]=0,0,IF(ISNUMBER(SEARCH("/",_xlfn.XLOOKUP(Inventarisatie[[#This Row],[Locatie]],Tabel2[Locatiecode],Tabel2[Basisfrequentie],0,0))),VLOOKUP("za",WkDagen[],YEAR(NOW())-2020,FALSE),""))</f>
        <v/>
      </c>
      <c r="J12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27" s="498" t="str">
        <f ca="1">IF(Inventarisatie[[#This Row],[Freq. Ma-Vr]]=0,0,IF(_xlfn.XLOOKUP(Inventarisatie[[#This Row],[Locatie]],Tabel2[Locatiecode],Tabel2[Basisfrequentie],0,0)=Locatieoverzicht!$F$47,VLOOKUP("fe",WkDagen[],YEAR(NOW())-2020,FALSE),""))</f>
        <v/>
      </c>
    </row>
    <row r="128" spans="1:11" x14ac:dyDescent="0.2">
      <c r="A128" s="493" t="s">
        <v>61</v>
      </c>
      <c r="B128" s="492" t="s">
        <v>301</v>
      </c>
      <c r="C128" s="493" t="s">
        <v>74</v>
      </c>
      <c r="D128" s="491" t="s">
        <v>312</v>
      </c>
      <c r="E128" s="493" t="s">
        <v>41</v>
      </c>
      <c r="F128" s="497" t="s">
        <v>39</v>
      </c>
      <c r="G128" s="494">
        <v>5.8</v>
      </c>
      <c r="H128" s="495" cm="1">
        <f t="array" aca="1" ref="H12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28" s="498" t="str">
        <f ca="1">IF(Inventarisatie[[#This Row],[Freq. Ma-Vr]]=0,0,IF(ISNUMBER(SEARCH("/",_xlfn.XLOOKUP(Inventarisatie[[#This Row],[Locatie]],Tabel2[Locatiecode],Tabel2[Basisfrequentie],0,0))),VLOOKUP("za",WkDagen[],YEAR(NOW())-2020,FALSE),""))</f>
        <v/>
      </c>
      <c r="J12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28" s="498" t="str">
        <f ca="1">IF(Inventarisatie[[#This Row],[Freq. Ma-Vr]]=0,0,IF(_xlfn.XLOOKUP(Inventarisatie[[#This Row],[Locatie]],Tabel2[Locatiecode],Tabel2[Basisfrequentie],0,0)=Locatieoverzicht!$F$47,VLOOKUP("fe",WkDagen[],YEAR(NOW())-2020,FALSE),""))</f>
        <v/>
      </c>
    </row>
    <row r="129" spans="1:11" x14ac:dyDescent="0.2">
      <c r="A129" s="491" t="s">
        <v>61</v>
      </c>
      <c r="B129" s="492" t="s">
        <v>301</v>
      </c>
      <c r="C129" s="493" t="s">
        <v>75</v>
      </c>
      <c r="D129" s="491" t="s">
        <v>312</v>
      </c>
      <c r="E129" s="493" t="s">
        <v>41</v>
      </c>
      <c r="F129" s="493" t="s">
        <v>6</v>
      </c>
      <c r="G129" s="494">
        <v>8.1</v>
      </c>
      <c r="H129" s="495" cm="1">
        <f t="array" aca="1" ref="H12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29" s="498" t="str">
        <f ca="1">IF(Inventarisatie[[#This Row],[Freq. Ma-Vr]]=0,0,IF(ISNUMBER(SEARCH("/",_xlfn.XLOOKUP(Inventarisatie[[#This Row],[Locatie]],Tabel2[Locatiecode],Tabel2[Basisfrequentie],0,0))),VLOOKUP("za",WkDagen[],YEAR(NOW())-2020,FALSE),""))</f>
        <v/>
      </c>
      <c r="J12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29" s="498" t="str">
        <f ca="1">IF(Inventarisatie[[#This Row],[Freq. Ma-Vr]]=0,0,IF(_xlfn.XLOOKUP(Inventarisatie[[#This Row],[Locatie]],Tabel2[Locatiecode],Tabel2[Basisfrequentie],0,0)=Locatieoverzicht!$F$47,VLOOKUP("fe",WkDagen[],YEAR(NOW())-2020,FALSE),""))</f>
        <v/>
      </c>
    </row>
    <row r="130" spans="1:11" x14ac:dyDescent="0.2">
      <c r="A130" s="493" t="s">
        <v>61</v>
      </c>
      <c r="B130" s="492" t="s">
        <v>301</v>
      </c>
      <c r="C130" s="493" t="s">
        <v>76</v>
      </c>
      <c r="D130" s="491" t="s">
        <v>312</v>
      </c>
      <c r="E130" s="493" t="s">
        <v>29</v>
      </c>
      <c r="F130" s="497" t="s">
        <v>6</v>
      </c>
      <c r="G130" s="494">
        <v>8</v>
      </c>
      <c r="H130" s="495" cm="1">
        <f t="array" aca="1" ref="H13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30" s="498" t="str">
        <f ca="1">IF(Inventarisatie[[#This Row],[Freq. Ma-Vr]]=0,0,IF(ISNUMBER(SEARCH("/",_xlfn.XLOOKUP(Inventarisatie[[#This Row],[Locatie]],Tabel2[Locatiecode],Tabel2[Basisfrequentie],0,0))),VLOOKUP("za",WkDagen[],YEAR(NOW())-2020,FALSE),""))</f>
        <v/>
      </c>
      <c r="J13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30" s="498" t="str">
        <f ca="1">IF(Inventarisatie[[#This Row],[Freq. Ma-Vr]]=0,0,IF(_xlfn.XLOOKUP(Inventarisatie[[#This Row],[Locatie]],Tabel2[Locatiecode],Tabel2[Basisfrequentie],0,0)=Locatieoverzicht!$F$47,VLOOKUP("fe",WkDagen[],YEAR(NOW())-2020,FALSE),""))</f>
        <v/>
      </c>
    </row>
    <row r="131" spans="1:11" x14ac:dyDescent="0.2">
      <c r="A131" s="491" t="s">
        <v>61</v>
      </c>
      <c r="B131" s="492" t="s">
        <v>301</v>
      </c>
      <c r="C131" s="493" t="s">
        <v>77</v>
      </c>
      <c r="D131" s="491" t="s">
        <v>308</v>
      </c>
      <c r="E131" s="493" t="s">
        <v>35</v>
      </c>
      <c r="F131" s="493" t="s">
        <v>6</v>
      </c>
      <c r="G131" s="494">
        <v>8.4</v>
      </c>
      <c r="H131" s="495" cm="1">
        <f t="array" aca="1" ref="H13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31" s="498" t="str">
        <f ca="1">IF(Inventarisatie[[#This Row],[Freq. Ma-Vr]]=0,0,IF(ISNUMBER(SEARCH("/",_xlfn.XLOOKUP(Inventarisatie[[#This Row],[Locatie]],Tabel2[Locatiecode],Tabel2[Basisfrequentie],0,0))),VLOOKUP("za",WkDagen[],YEAR(NOW())-2020,FALSE),""))</f>
        <v/>
      </c>
      <c r="J13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31" s="498" t="str">
        <f ca="1">IF(Inventarisatie[[#This Row],[Freq. Ma-Vr]]=0,0,IF(_xlfn.XLOOKUP(Inventarisatie[[#This Row],[Locatie]],Tabel2[Locatiecode],Tabel2[Basisfrequentie],0,0)=Locatieoverzicht!$F$47,VLOOKUP("fe",WkDagen[],YEAR(NOW())-2020,FALSE),""))</f>
        <v/>
      </c>
    </row>
    <row r="132" spans="1:11" x14ac:dyDescent="0.2">
      <c r="A132" s="493" t="s">
        <v>61</v>
      </c>
      <c r="B132" s="492" t="s">
        <v>301</v>
      </c>
      <c r="C132" s="493" t="s">
        <v>78</v>
      </c>
      <c r="D132" s="491" t="s">
        <v>310</v>
      </c>
      <c r="E132" s="501" t="s">
        <v>34</v>
      </c>
      <c r="F132" s="497" t="s">
        <v>6</v>
      </c>
      <c r="G132" s="494">
        <v>23.5</v>
      </c>
      <c r="H132" s="495" cm="1">
        <f t="array" aca="1" ref="H13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32" s="498" t="str">
        <f ca="1">IF(Inventarisatie[[#This Row],[Freq. Ma-Vr]]=0,0,IF(ISNUMBER(SEARCH("/",_xlfn.XLOOKUP(Inventarisatie[[#This Row],[Locatie]],Tabel2[Locatiecode],Tabel2[Basisfrequentie],0,0))),VLOOKUP("za",WkDagen[],YEAR(NOW())-2020,FALSE),""))</f>
        <v/>
      </c>
      <c r="J13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32" s="498" t="str">
        <f ca="1">IF(Inventarisatie[[#This Row],[Freq. Ma-Vr]]=0,0,IF(_xlfn.XLOOKUP(Inventarisatie[[#This Row],[Locatie]],Tabel2[Locatiecode],Tabel2[Basisfrequentie],0,0)=Locatieoverzicht!$F$47,VLOOKUP("fe",WkDagen[],YEAR(NOW())-2020,FALSE),""))</f>
        <v/>
      </c>
    </row>
    <row r="133" spans="1:11" x14ac:dyDescent="0.2">
      <c r="A133" s="491" t="s">
        <v>61</v>
      </c>
      <c r="B133" s="492" t="s">
        <v>301</v>
      </c>
      <c r="C133" s="493" t="s">
        <v>79</v>
      </c>
      <c r="D133" s="491" t="s">
        <v>312</v>
      </c>
      <c r="E133" s="493" t="s">
        <v>80</v>
      </c>
      <c r="F133" s="493" t="s">
        <v>96</v>
      </c>
      <c r="G133" s="494">
        <v>0</v>
      </c>
      <c r="H133" s="495" cm="1">
        <f t="array" aca="1" ref="H13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33" s="498" t="str">
        <f ca="1">IF(Inventarisatie[[#This Row],[Freq. Ma-Vr]]=0,0,IF(ISNUMBER(SEARCH("/",_xlfn.XLOOKUP(Inventarisatie[[#This Row],[Locatie]],Tabel2[Locatiecode],Tabel2[Basisfrequentie],0,0))),VLOOKUP("za",WkDagen[],YEAR(NOW())-2020,FALSE),""))</f>
        <v/>
      </c>
      <c r="J13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33" s="498" t="str">
        <f ca="1">IF(Inventarisatie[[#This Row],[Freq. Ma-Vr]]=0,0,IF(_xlfn.XLOOKUP(Inventarisatie[[#This Row],[Locatie]],Tabel2[Locatiecode],Tabel2[Basisfrequentie],0,0)=Locatieoverzicht!$F$47,VLOOKUP("fe",WkDagen[],YEAR(NOW())-2020,FALSE),""))</f>
        <v/>
      </c>
    </row>
    <row r="134" spans="1:11" x14ac:dyDescent="0.2">
      <c r="A134" s="493" t="s">
        <v>61</v>
      </c>
      <c r="B134" s="492" t="s">
        <v>301</v>
      </c>
      <c r="C134" s="493" t="s">
        <v>81</v>
      </c>
      <c r="D134" s="491" t="s">
        <v>307</v>
      </c>
      <c r="E134" s="493" t="s">
        <v>26</v>
      </c>
      <c r="F134" s="497" t="s">
        <v>6</v>
      </c>
      <c r="G134" s="494">
        <v>19.3</v>
      </c>
      <c r="H134" s="495" cm="1">
        <f t="array" aca="1" ref="H13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34" s="498" t="str">
        <f ca="1">IF(Inventarisatie[[#This Row],[Freq. Ma-Vr]]=0,0,IF(ISNUMBER(SEARCH("/",_xlfn.XLOOKUP(Inventarisatie[[#This Row],[Locatie]],Tabel2[Locatiecode],Tabel2[Basisfrequentie],0,0))),VLOOKUP("za",WkDagen[],YEAR(NOW())-2020,FALSE),""))</f>
        <v/>
      </c>
      <c r="J13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34" s="498" t="str">
        <f ca="1">IF(Inventarisatie[[#This Row],[Freq. Ma-Vr]]=0,0,IF(_xlfn.XLOOKUP(Inventarisatie[[#This Row],[Locatie]],Tabel2[Locatiecode],Tabel2[Basisfrequentie],0,0)=Locatieoverzicht!$F$47,VLOOKUP("fe",WkDagen[],YEAR(NOW())-2020,FALSE),""))</f>
        <v/>
      </c>
    </row>
    <row r="135" spans="1:11" x14ac:dyDescent="0.2">
      <c r="A135" s="491" t="s">
        <v>61</v>
      </c>
      <c r="B135" s="492" t="s">
        <v>301</v>
      </c>
      <c r="C135" s="493" t="s">
        <v>82</v>
      </c>
      <c r="D135" s="491" t="s">
        <v>307</v>
      </c>
      <c r="E135" s="493" t="s">
        <v>26</v>
      </c>
      <c r="F135" s="493" t="s">
        <v>6</v>
      </c>
      <c r="G135" s="494">
        <v>18.899999999999999</v>
      </c>
      <c r="H135" s="495" cm="1">
        <f t="array" aca="1" ref="H13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35" s="498" t="str">
        <f ca="1">IF(Inventarisatie[[#This Row],[Freq. Ma-Vr]]=0,0,IF(ISNUMBER(SEARCH("/",_xlfn.XLOOKUP(Inventarisatie[[#This Row],[Locatie]],Tabel2[Locatiecode],Tabel2[Basisfrequentie],0,0))),VLOOKUP("za",WkDagen[],YEAR(NOW())-2020,FALSE),""))</f>
        <v/>
      </c>
      <c r="J13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35" s="498" t="str">
        <f ca="1">IF(Inventarisatie[[#This Row],[Freq. Ma-Vr]]=0,0,IF(_xlfn.XLOOKUP(Inventarisatie[[#This Row],[Locatie]],Tabel2[Locatiecode],Tabel2[Basisfrequentie],0,0)=Locatieoverzicht!$F$47,VLOOKUP("fe",WkDagen[],YEAR(NOW())-2020,FALSE),""))</f>
        <v/>
      </c>
    </row>
    <row r="136" spans="1:11" x14ac:dyDescent="0.2">
      <c r="A136" s="493" t="s">
        <v>61</v>
      </c>
      <c r="B136" s="492" t="s">
        <v>301</v>
      </c>
      <c r="C136" s="493" t="s">
        <v>83</v>
      </c>
      <c r="D136" s="491" t="s">
        <v>307</v>
      </c>
      <c r="E136" s="493" t="s">
        <v>26</v>
      </c>
      <c r="F136" s="497" t="s">
        <v>6</v>
      </c>
      <c r="G136" s="494">
        <v>25.1</v>
      </c>
      <c r="H136" s="495" cm="1">
        <f t="array" aca="1" ref="H13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36" s="498" t="str">
        <f ca="1">IF(Inventarisatie[[#This Row],[Freq. Ma-Vr]]=0,0,IF(ISNUMBER(SEARCH("/",_xlfn.XLOOKUP(Inventarisatie[[#This Row],[Locatie]],Tabel2[Locatiecode],Tabel2[Basisfrequentie],0,0))),VLOOKUP("za",WkDagen[],YEAR(NOW())-2020,FALSE),""))</f>
        <v/>
      </c>
      <c r="J13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36" s="498" t="str">
        <f ca="1">IF(Inventarisatie[[#This Row],[Freq. Ma-Vr]]=0,0,IF(_xlfn.XLOOKUP(Inventarisatie[[#This Row],[Locatie]],Tabel2[Locatiecode],Tabel2[Basisfrequentie],0,0)=Locatieoverzicht!$F$47,VLOOKUP("fe",WkDagen[],YEAR(NOW())-2020,FALSE),""))</f>
        <v/>
      </c>
    </row>
    <row r="137" spans="1:11" x14ac:dyDescent="0.2">
      <c r="A137" s="491" t="s">
        <v>61</v>
      </c>
      <c r="B137" s="492" t="s">
        <v>301</v>
      </c>
      <c r="C137" s="493" t="s">
        <v>84</v>
      </c>
      <c r="D137" s="491" t="s">
        <v>307</v>
      </c>
      <c r="E137" s="493" t="s">
        <v>26</v>
      </c>
      <c r="F137" s="493" t="s">
        <v>6</v>
      </c>
      <c r="G137" s="494">
        <v>12.4</v>
      </c>
      <c r="H137" s="495" cm="1">
        <f t="array" aca="1" ref="H13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37" s="498" t="str">
        <f ca="1">IF(Inventarisatie[[#This Row],[Freq. Ma-Vr]]=0,0,IF(ISNUMBER(SEARCH("/",_xlfn.XLOOKUP(Inventarisatie[[#This Row],[Locatie]],Tabel2[Locatiecode],Tabel2[Basisfrequentie],0,0))),VLOOKUP("za",WkDagen[],YEAR(NOW())-2020,FALSE),""))</f>
        <v/>
      </c>
      <c r="J13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37" s="498" t="str">
        <f ca="1">IF(Inventarisatie[[#This Row],[Freq. Ma-Vr]]=0,0,IF(_xlfn.XLOOKUP(Inventarisatie[[#This Row],[Locatie]],Tabel2[Locatiecode],Tabel2[Basisfrequentie],0,0)=Locatieoverzicht!$F$47,VLOOKUP("fe",WkDagen[],YEAR(NOW())-2020,FALSE),""))</f>
        <v/>
      </c>
    </row>
    <row r="138" spans="1:11" x14ac:dyDescent="0.2">
      <c r="A138" s="493" t="s">
        <v>61</v>
      </c>
      <c r="B138" s="492" t="s">
        <v>301</v>
      </c>
      <c r="C138" s="493" t="s">
        <v>85</v>
      </c>
      <c r="D138" s="491" t="s">
        <v>311</v>
      </c>
      <c r="E138" s="493" t="s">
        <v>16</v>
      </c>
      <c r="F138" s="497" t="s">
        <v>17</v>
      </c>
      <c r="G138" s="494">
        <v>1</v>
      </c>
      <c r="H138" s="495" cm="1">
        <f t="array" aca="1" ref="H13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38" s="498" t="str">
        <f ca="1">IF(Inventarisatie[[#This Row],[Freq. Ma-Vr]]=0,0,IF(ISNUMBER(SEARCH("/",_xlfn.XLOOKUP(Inventarisatie[[#This Row],[Locatie]],Tabel2[Locatiecode],Tabel2[Basisfrequentie],0,0))),VLOOKUP("za",WkDagen[],YEAR(NOW())-2020,FALSE),""))</f>
        <v/>
      </c>
      <c r="J13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38" s="498" t="str">
        <f ca="1">IF(Inventarisatie[[#This Row],[Freq. Ma-Vr]]=0,0,IF(_xlfn.XLOOKUP(Inventarisatie[[#This Row],[Locatie]],Tabel2[Locatiecode],Tabel2[Basisfrequentie],0,0)=Locatieoverzicht!$F$47,VLOOKUP("fe",WkDagen[],YEAR(NOW())-2020,FALSE),""))</f>
        <v/>
      </c>
    </row>
    <row r="139" spans="1:11" x14ac:dyDescent="0.2">
      <c r="A139" s="491" t="s">
        <v>61</v>
      </c>
      <c r="B139" s="492" t="s">
        <v>301</v>
      </c>
      <c r="C139" s="493" t="s">
        <v>86</v>
      </c>
      <c r="D139" s="491" t="s">
        <v>311</v>
      </c>
      <c r="E139" s="493" t="s">
        <v>16</v>
      </c>
      <c r="F139" s="493" t="s">
        <v>17</v>
      </c>
      <c r="G139" s="494">
        <v>1</v>
      </c>
      <c r="H139" s="495" cm="1">
        <f t="array" aca="1" ref="H13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39" s="498" t="str">
        <f ca="1">IF(Inventarisatie[[#This Row],[Freq. Ma-Vr]]=0,0,IF(ISNUMBER(SEARCH("/",_xlfn.XLOOKUP(Inventarisatie[[#This Row],[Locatie]],Tabel2[Locatiecode],Tabel2[Basisfrequentie],0,0))),VLOOKUP("za",WkDagen[],YEAR(NOW())-2020,FALSE),""))</f>
        <v/>
      </c>
      <c r="J13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39" s="498" t="str">
        <f ca="1">IF(Inventarisatie[[#This Row],[Freq. Ma-Vr]]=0,0,IF(_xlfn.XLOOKUP(Inventarisatie[[#This Row],[Locatie]],Tabel2[Locatiecode],Tabel2[Basisfrequentie],0,0)=Locatieoverzicht!$F$47,VLOOKUP("fe",WkDagen[],YEAR(NOW())-2020,FALSE),""))</f>
        <v/>
      </c>
    </row>
    <row r="140" spans="1:11" x14ac:dyDescent="0.2">
      <c r="A140" s="493" t="s">
        <v>61</v>
      </c>
      <c r="B140" s="492" t="s">
        <v>301</v>
      </c>
      <c r="C140" s="493" t="s">
        <v>87</v>
      </c>
      <c r="D140" s="491" t="s">
        <v>312</v>
      </c>
      <c r="E140" s="493" t="s">
        <v>88</v>
      </c>
      <c r="F140" s="497" t="s">
        <v>17</v>
      </c>
      <c r="G140" s="494">
        <v>1.3</v>
      </c>
      <c r="H140" s="495" cm="1">
        <f t="array" aca="1" ref="H14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40" s="498" t="str">
        <f ca="1">IF(Inventarisatie[[#This Row],[Freq. Ma-Vr]]=0,0,IF(ISNUMBER(SEARCH("/",_xlfn.XLOOKUP(Inventarisatie[[#This Row],[Locatie]],Tabel2[Locatiecode],Tabel2[Basisfrequentie],0,0))),VLOOKUP("za",WkDagen[],YEAR(NOW())-2020,FALSE),""))</f>
        <v/>
      </c>
      <c r="J14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40" s="498" t="str">
        <f ca="1">IF(Inventarisatie[[#This Row],[Freq. Ma-Vr]]=0,0,IF(_xlfn.XLOOKUP(Inventarisatie[[#This Row],[Locatie]],Tabel2[Locatiecode],Tabel2[Basisfrequentie],0,0)=Locatieoverzicht!$F$47,VLOOKUP("fe",WkDagen[],YEAR(NOW())-2020,FALSE),""))</f>
        <v/>
      </c>
    </row>
    <row r="141" spans="1:11" x14ac:dyDescent="0.2">
      <c r="A141" s="491" t="s">
        <v>61</v>
      </c>
      <c r="B141" s="492" t="s">
        <v>301</v>
      </c>
      <c r="C141" s="493" t="s">
        <v>89</v>
      </c>
      <c r="D141" s="491" t="s">
        <v>311</v>
      </c>
      <c r="E141" s="493" t="s">
        <v>90</v>
      </c>
      <c r="F141" s="493" t="s">
        <v>17</v>
      </c>
      <c r="G141" s="494">
        <v>3.5</v>
      </c>
      <c r="H141" s="495" cm="1">
        <f t="array" aca="1" ref="H14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41" s="498" t="str">
        <f ca="1">IF(Inventarisatie[[#This Row],[Freq. Ma-Vr]]=0,0,IF(ISNUMBER(SEARCH("/",_xlfn.XLOOKUP(Inventarisatie[[#This Row],[Locatie]],Tabel2[Locatiecode],Tabel2[Basisfrequentie],0,0))),VLOOKUP("za",WkDagen[],YEAR(NOW())-2020,FALSE),""))</f>
        <v/>
      </c>
      <c r="J14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41" s="498" t="str">
        <f ca="1">IF(Inventarisatie[[#This Row],[Freq. Ma-Vr]]=0,0,IF(_xlfn.XLOOKUP(Inventarisatie[[#This Row],[Locatie]],Tabel2[Locatiecode],Tabel2[Basisfrequentie],0,0)=Locatieoverzicht!$F$47,VLOOKUP("fe",WkDagen[],YEAR(NOW())-2020,FALSE),""))</f>
        <v/>
      </c>
    </row>
    <row r="142" spans="1:11" x14ac:dyDescent="0.2">
      <c r="A142" s="493" t="s">
        <v>61</v>
      </c>
      <c r="B142" s="492" t="s">
        <v>301</v>
      </c>
      <c r="C142" s="493" t="s">
        <v>91</v>
      </c>
      <c r="D142" s="491" t="s">
        <v>307</v>
      </c>
      <c r="E142" s="493" t="s">
        <v>26</v>
      </c>
      <c r="F142" s="497" t="s">
        <v>6</v>
      </c>
      <c r="G142" s="494">
        <v>12.1</v>
      </c>
      <c r="H142" s="495" cm="1">
        <f t="array" aca="1" ref="H14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42" s="498" t="str">
        <f ca="1">IF(Inventarisatie[[#This Row],[Freq. Ma-Vr]]=0,0,IF(ISNUMBER(SEARCH("/",_xlfn.XLOOKUP(Inventarisatie[[#This Row],[Locatie]],Tabel2[Locatiecode],Tabel2[Basisfrequentie],0,0))),VLOOKUP("za",WkDagen[],YEAR(NOW())-2020,FALSE),""))</f>
        <v/>
      </c>
      <c r="J14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42" s="498" t="str">
        <f ca="1">IF(Inventarisatie[[#This Row],[Freq. Ma-Vr]]=0,0,IF(_xlfn.XLOOKUP(Inventarisatie[[#This Row],[Locatie]],Tabel2[Locatiecode],Tabel2[Basisfrequentie],0,0)=Locatieoverzicht!$F$47,VLOOKUP("fe",WkDagen[],YEAR(NOW())-2020,FALSE),""))</f>
        <v/>
      </c>
    </row>
    <row r="143" spans="1:11" x14ac:dyDescent="0.2">
      <c r="A143" s="491" t="s">
        <v>61</v>
      </c>
      <c r="B143" s="492" t="s">
        <v>301</v>
      </c>
      <c r="C143" s="493" t="s">
        <v>92</v>
      </c>
      <c r="D143" s="491" t="s">
        <v>307</v>
      </c>
      <c r="E143" s="493" t="s">
        <v>40</v>
      </c>
      <c r="F143" s="493" t="s">
        <v>6</v>
      </c>
      <c r="G143" s="494">
        <v>8.1999999999999993</v>
      </c>
      <c r="H143" s="495" cm="1">
        <f t="array" aca="1" ref="H14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43" s="498" t="str">
        <f ca="1">IF(Inventarisatie[[#This Row],[Freq. Ma-Vr]]=0,0,IF(ISNUMBER(SEARCH("/",_xlfn.XLOOKUP(Inventarisatie[[#This Row],[Locatie]],Tabel2[Locatiecode],Tabel2[Basisfrequentie],0,0))),VLOOKUP("za",WkDagen[],YEAR(NOW())-2020,FALSE),""))</f>
        <v/>
      </c>
      <c r="J14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43" s="498" t="str">
        <f ca="1">IF(Inventarisatie[[#This Row],[Freq. Ma-Vr]]=0,0,IF(_xlfn.XLOOKUP(Inventarisatie[[#This Row],[Locatie]],Tabel2[Locatiecode],Tabel2[Basisfrequentie],0,0)=Locatieoverzicht!$F$47,VLOOKUP("fe",WkDagen[],YEAR(NOW())-2020,FALSE),""))</f>
        <v/>
      </c>
    </row>
    <row r="144" spans="1:11" x14ac:dyDescent="0.2">
      <c r="A144" s="491" t="s">
        <v>93</v>
      </c>
      <c r="B144" s="492" t="s">
        <v>301</v>
      </c>
      <c r="C144" s="493" t="s">
        <v>60</v>
      </c>
      <c r="D144" s="491" t="s">
        <v>312</v>
      </c>
      <c r="E144" s="493" t="s">
        <v>94</v>
      </c>
      <c r="F144" s="493" t="s">
        <v>6</v>
      </c>
      <c r="G144" s="494">
        <v>29.1</v>
      </c>
      <c r="H144" s="495" cm="1">
        <f t="array" aca="1" ref="H14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44" s="498" t="str">
        <f ca="1">IF(Inventarisatie[[#This Row],[Freq. Ma-Vr]]=0,0,IF(ISNUMBER(SEARCH("/",_xlfn.XLOOKUP(Inventarisatie[[#This Row],[Locatie]],Tabel2[Locatiecode],Tabel2[Basisfrequentie],0,0))),VLOOKUP("za",WkDagen[],YEAR(NOW())-2020,FALSE),""))</f>
        <v/>
      </c>
      <c r="J14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44" s="498" t="str">
        <f ca="1">IF(Inventarisatie[[#This Row],[Freq. Ma-Vr]]=0,0,IF(_xlfn.XLOOKUP(Inventarisatie[[#This Row],[Locatie]],Tabel2[Locatiecode],Tabel2[Basisfrequentie],0,0)=Locatieoverzicht!$F$47,VLOOKUP("fe",WkDagen[],YEAR(NOW())-2020,FALSE),""))</f>
        <v/>
      </c>
    </row>
    <row r="145" spans="1:11" x14ac:dyDescent="0.2">
      <c r="A145" s="493" t="s">
        <v>93</v>
      </c>
      <c r="B145" s="492" t="s">
        <v>301</v>
      </c>
      <c r="C145" s="493" t="s">
        <v>62</v>
      </c>
      <c r="D145" s="491" t="s">
        <v>310</v>
      </c>
      <c r="E145" s="493" t="s">
        <v>19</v>
      </c>
      <c r="F145" s="497" t="s">
        <v>6</v>
      </c>
      <c r="G145" s="494">
        <v>11.4</v>
      </c>
      <c r="H145" s="495" cm="1">
        <f t="array" aca="1" ref="H14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45" s="498" t="str">
        <f ca="1">IF(Inventarisatie[[#This Row],[Freq. Ma-Vr]]=0,0,IF(ISNUMBER(SEARCH("/",_xlfn.XLOOKUP(Inventarisatie[[#This Row],[Locatie]],Tabel2[Locatiecode],Tabel2[Basisfrequentie],0,0))),VLOOKUP("za",WkDagen[],YEAR(NOW())-2020,FALSE),""))</f>
        <v/>
      </c>
      <c r="J14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45" s="498" t="str">
        <f ca="1">IF(Inventarisatie[[#This Row],[Freq. Ma-Vr]]=0,0,IF(_xlfn.XLOOKUP(Inventarisatie[[#This Row],[Locatie]],Tabel2[Locatiecode],Tabel2[Basisfrequentie],0,0)=Locatieoverzicht!$F$47,VLOOKUP("fe",WkDagen[],YEAR(NOW())-2020,FALSE),""))</f>
        <v/>
      </c>
    </row>
    <row r="146" spans="1:11" x14ac:dyDescent="0.2">
      <c r="A146" s="491" t="s">
        <v>93</v>
      </c>
      <c r="B146" s="492" t="s">
        <v>301</v>
      </c>
      <c r="C146" s="493" t="s">
        <v>64</v>
      </c>
      <c r="D146" s="491" t="s">
        <v>310</v>
      </c>
      <c r="E146" s="493" t="s">
        <v>5</v>
      </c>
      <c r="F146" s="493" t="s">
        <v>6</v>
      </c>
      <c r="G146" s="494">
        <v>24.4</v>
      </c>
      <c r="H146" s="495" cm="1">
        <f t="array" aca="1" ref="H14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46" s="498" t="str">
        <f ca="1">IF(Inventarisatie[[#This Row],[Freq. Ma-Vr]]=0,0,IF(ISNUMBER(SEARCH("/",_xlfn.XLOOKUP(Inventarisatie[[#This Row],[Locatie]],Tabel2[Locatiecode],Tabel2[Basisfrequentie],0,0))),VLOOKUP("za",WkDagen[],YEAR(NOW())-2020,FALSE),""))</f>
        <v/>
      </c>
      <c r="J14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46" s="498" t="str">
        <f ca="1">IF(Inventarisatie[[#This Row],[Freq. Ma-Vr]]=0,0,IF(_xlfn.XLOOKUP(Inventarisatie[[#This Row],[Locatie]],Tabel2[Locatiecode],Tabel2[Basisfrequentie],0,0)=Locatieoverzicht!$F$47,VLOOKUP("fe",WkDagen[],YEAR(NOW())-2020,FALSE),""))</f>
        <v/>
      </c>
    </row>
    <row r="147" spans="1:11" x14ac:dyDescent="0.2">
      <c r="A147" s="493" t="s">
        <v>93</v>
      </c>
      <c r="B147" s="492" t="s">
        <v>301</v>
      </c>
      <c r="C147" s="493" t="s">
        <v>65</v>
      </c>
      <c r="D147" s="491" t="s">
        <v>310</v>
      </c>
      <c r="E147" s="493" t="s">
        <v>5</v>
      </c>
      <c r="F147" s="497" t="s">
        <v>6</v>
      </c>
      <c r="G147" s="494">
        <v>16</v>
      </c>
      <c r="H147" s="495" cm="1">
        <f t="array" aca="1" ref="H14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47" s="498" t="str">
        <f ca="1">IF(Inventarisatie[[#This Row],[Freq. Ma-Vr]]=0,0,IF(ISNUMBER(SEARCH("/",_xlfn.XLOOKUP(Inventarisatie[[#This Row],[Locatie]],Tabel2[Locatiecode],Tabel2[Basisfrequentie],0,0))),VLOOKUP("za",WkDagen[],YEAR(NOW())-2020,FALSE),""))</f>
        <v/>
      </c>
      <c r="J14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47" s="498" t="str">
        <f ca="1">IF(Inventarisatie[[#This Row],[Freq. Ma-Vr]]=0,0,IF(_xlfn.XLOOKUP(Inventarisatie[[#This Row],[Locatie]],Tabel2[Locatiecode],Tabel2[Basisfrequentie],0,0)=Locatieoverzicht!$F$47,VLOOKUP("fe",WkDagen[],YEAR(NOW())-2020,FALSE),""))</f>
        <v/>
      </c>
    </row>
    <row r="148" spans="1:11" x14ac:dyDescent="0.2">
      <c r="A148" s="491" t="s">
        <v>93</v>
      </c>
      <c r="B148" s="492" t="s">
        <v>301</v>
      </c>
      <c r="C148" s="493" t="s">
        <v>66</v>
      </c>
      <c r="D148" s="491" t="s">
        <v>311</v>
      </c>
      <c r="E148" s="493" t="s">
        <v>16</v>
      </c>
      <c r="F148" s="493" t="s">
        <v>17</v>
      </c>
      <c r="G148" s="494">
        <v>1.6</v>
      </c>
      <c r="H148" s="495" cm="1">
        <f t="array" aca="1" ref="H14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48" s="498" t="str">
        <f ca="1">IF(Inventarisatie[[#This Row],[Freq. Ma-Vr]]=0,0,IF(ISNUMBER(SEARCH("/",_xlfn.XLOOKUP(Inventarisatie[[#This Row],[Locatie]],Tabel2[Locatiecode],Tabel2[Basisfrequentie],0,0))),VLOOKUP("za",WkDagen[],YEAR(NOW())-2020,FALSE),""))</f>
        <v/>
      </c>
      <c r="J14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48" s="498" t="str">
        <f ca="1">IF(Inventarisatie[[#This Row],[Freq. Ma-Vr]]=0,0,IF(_xlfn.XLOOKUP(Inventarisatie[[#This Row],[Locatie]],Tabel2[Locatiecode],Tabel2[Basisfrequentie],0,0)=Locatieoverzicht!$F$47,VLOOKUP("fe",WkDagen[],YEAR(NOW())-2020,FALSE),""))</f>
        <v/>
      </c>
    </row>
    <row r="149" spans="1:11" x14ac:dyDescent="0.2">
      <c r="A149" s="493" t="s">
        <v>93</v>
      </c>
      <c r="B149" s="492" t="s">
        <v>301</v>
      </c>
      <c r="C149" s="493" t="s">
        <v>67</v>
      </c>
      <c r="D149" s="491" t="s">
        <v>310</v>
      </c>
      <c r="E149" s="493" t="s">
        <v>5</v>
      </c>
      <c r="F149" s="497" t="s">
        <v>6</v>
      </c>
      <c r="G149" s="494">
        <v>16.7</v>
      </c>
      <c r="H149" s="495" cm="1">
        <f t="array" aca="1" ref="H14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49" s="498" t="str">
        <f ca="1">IF(Inventarisatie[[#This Row],[Freq. Ma-Vr]]=0,0,IF(ISNUMBER(SEARCH("/",_xlfn.XLOOKUP(Inventarisatie[[#This Row],[Locatie]],Tabel2[Locatiecode],Tabel2[Basisfrequentie],0,0))),VLOOKUP("za",WkDagen[],YEAR(NOW())-2020,FALSE),""))</f>
        <v/>
      </c>
      <c r="J14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49" s="498" t="str">
        <f ca="1">IF(Inventarisatie[[#This Row],[Freq. Ma-Vr]]=0,0,IF(_xlfn.XLOOKUP(Inventarisatie[[#This Row],[Locatie]],Tabel2[Locatiecode],Tabel2[Basisfrequentie],0,0)=Locatieoverzicht!$F$47,VLOOKUP("fe",WkDagen[],YEAR(NOW())-2020,FALSE),""))</f>
        <v/>
      </c>
    </row>
    <row r="150" spans="1:11" x14ac:dyDescent="0.2">
      <c r="A150" s="491" t="s">
        <v>93</v>
      </c>
      <c r="B150" s="492" t="s">
        <v>301</v>
      </c>
      <c r="C150" s="493" t="s">
        <v>68</v>
      </c>
      <c r="D150" s="491" t="s">
        <v>310</v>
      </c>
      <c r="E150" s="493" t="s">
        <v>5</v>
      </c>
      <c r="F150" s="493" t="s">
        <v>6</v>
      </c>
      <c r="G150" s="494">
        <v>16</v>
      </c>
      <c r="H150" s="495" cm="1">
        <f t="array" aca="1" ref="H15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50" s="498" t="str">
        <f ca="1">IF(Inventarisatie[[#This Row],[Freq. Ma-Vr]]=0,0,IF(ISNUMBER(SEARCH("/",_xlfn.XLOOKUP(Inventarisatie[[#This Row],[Locatie]],Tabel2[Locatiecode],Tabel2[Basisfrequentie],0,0))),VLOOKUP("za",WkDagen[],YEAR(NOW())-2020,FALSE),""))</f>
        <v/>
      </c>
      <c r="J15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50" s="498" t="str">
        <f ca="1">IF(Inventarisatie[[#This Row],[Freq. Ma-Vr]]=0,0,IF(_xlfn.XLOOKUP(Inventarisatie[[#This Row],[Locatie]],Tabel2[Locatiecode],Tabel2[Basisfrequentie],0,0)=Locatieoverzicht!$F$47,VLOOKUP("fe",WkDagen[],YEAR(NOW())-2020,FALSE),""))</f>
        <v/>
      </c>
    </row>
    <row r="151" spans="1:11" x14ac:dyDescent="0.2">
      <c r="A151" s="493" t="s">
        <v>93</v>
      </c>
      <c r="B151" s="492" t="s">
        <v>301</v>
      </c>
      <c r="C151" s="493" t="s">
        <v>72</v>
      </c>
      <c r="D151" s="491" t="s">
        <v>307</v>
      </c>
      <c r="E151" s="493" t="s">
        <v>26</v>
      </c>
      <c r="F151" s="497" t="s">
        <v>6</v>
      </c>
      <c r="G151" s="494">
        <v>33.1</v>
      </c>
      <c r="H151" s="495" cm="1">
        <f t="array" aca="1" ref="H15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51" s="498" t="str">
        <f ca="1">IF(Inventarisatie[[#This Row],[Freq. Ma-Vr]]=0,0,IF(ISNUMBER(SEARCH("/",_xlfn.XLOOKUP(Inventarisatie[[#This Row],[Locatie]],Tabel2[Locatiecode],Tabel2[Basisfrequentie],0,0))),VLOOKUP("za",WkDagen[],YEAR(NOW())-2020,FALSE),""))</f>
        <v/>
      </c>
      <c r="J15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51" s="498" t="str">
        <f ca="1">IF(Inventarisatie[[#This Row],[Freq. Ma-Vr]]=0,0,IF(_xlfn.XLOOKUP(Inventarisatie[[#This Row],[Locatie]],Tabel2[Locatiecode],Tabel2[Basisfrequentie],0,0)=Locatieoverzicht!$F$47,VLOOKUP("fe",WkDagen[],YEAR(NOW())-2020,FALSE),""))</f>
        <v/>
      </c>
    </row>
    <row r="152" spans="1:11" x14ac:dyDescent="0.2">
      <c r="A152" s="491" t="s">
        <v>93</v>
      </c>
      <c r="B152" s="492" t="s">
        <v>301</v>
      </c>
      <c r="C152" s="493" t="s">
        <v>69</v>
      </c>
      <c r="D152" s="491" t="s">
        <v>311</v>
      </c>
      <c r="E152" s="493" t="s">
        <v>16</v>
      </c>
      <c r="F152" s="493" t="s">
        <v>17</v>
      </c>
      <c r="G152" s="494">
        <v>3.6</v>
      </c>
      <c r="H152" s="495" cm="1">
        <f t="array" aca="1" ref="H15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52" s="498" t="str">
        <f ca="1">IF(Inventarisatie[[#This Row],[Freq. Ma-Vr]]=0,0,IF(ISNUMBER(SEARCH("/",_xlfn.XLOOKUP(Inventarisatie[[#This Row],[Locatie]],Tabel2[Locatiecode],Tabel2[Basisfrequentie],0,0))),VLOOKUP("za",WkDagen[],YEAR(NOW())-2020,FALSE),""))</f>
        <v/>
      </c>
      <c r="J15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52" s="498" t="str">
        <f ca="1">IF(Inventarisatie[[#This Row],[Freq. Ma-Vr]]=0,0,IF(_xlfn.XLOOKUP(Inventarisatie[[#This Row],[Locatie]],Tabel2[Locatiecode],Tabel2[Basisfrequentie],0,0)=Locatieoverzicht!$F$47,VLOOKUP("fe",WkDagen[],YEAR(NOW())-2020,FALSE),""))</f>
        <v/>
      </c>
    </row>
    <row r="153" spans="1:11" x14ac:dyDescent="0.2">
      <c r="A153" s="493" t="s">
        <v>93</v>
      </c>
      <c r="B153" s="492" t="s">
        <v>301</v>
      </c>
      <c r="C153" s="493" t="s">
        <v>95</v>
      </c>
      <c r="D153" s="491" t="s">
        <v>312</v>
      </c>
      <c r="E153" s="493" t="s">
        <v>80</v>
      </c>
      <c r="F153" s="497" t="s">
        <v>96</v>
      </c>
      <c r="G153" s="494">
        <v>0.3</v>
      </c>
      <c r="H153" s="495" cm="1">
        <f t="array" aca="1" ref="H15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53" s="498" t="str">
        <f ca="1">IF(Inventarisatie[[#This Row],[Freq. Ma-Vr]]=0,0,IF(ISNUMBER(SEARCH("/",_xlfn.XLOOKUP(Inventarisatie[[#This Row],[Locatie]],Tabel2[Locatiecode],Tabel2[Basisfrequentie],0,0))),VLOOKUP("za",WkDagen[],YEAR(NOW())-2020,FALSE),""))</f>
        <v/>
      </c>
      <c r="J15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53" s="498" t="str">
        <f ca="1">IF(Inventarisatie[[#This Row],[Freq. Ma-Vr]]=0,0,IF(_xlfn.XLOOKUP(Inventarisatie[[#This Row],[Locatie]],Tabel2[Locatiecode],Tabel2[Basisfrequentie],0,0)=Locatieoverzicht!$F$47,VLOOKUP("fe",WkDagen[],YEAR(NOW())-2020,FALSE),""))</f>
        <v/>
      </c>
    </row>
    <row r="154" spans="1:11" x14ac:dyDescent="0.2">
      <c r="A154" s="491" t="s">
        <v>93</v>
      </c>
      <c r="B154" s="492" t="s">
        <v>301</v>
      </c>
      <c r="C154" s="493" t="s">
        <v>73</v>
      </c>
      <c r="D154" s="491" t="s">
        <v>312</v>
      </c>
      <c r="E154" s="493" t="s">
        <v>14</v>
      </c>
      <c r="F154" s="493" t="s">
        <v>6</v>
      </c>
      <c r="G154" s="494">
        <v>2.2999999999999998</v>
      </c>
      <c r="H154" s="495" cm="1">
        <f t="array" aca="1" ref="H15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54" s="498" t="str">
        <f ca="1">IF(Inventarisatie[[#This Row],[Freq. Ma-Vr]]=0,0,IF(ISNUMBER(SEARCH("/",_xlfn.XLOOKUP(Inventarisatie[[#This Row],[Locatie]],Tabel2[Locatiecode],Tabel2[Basisfrequentie],0,0))),VLOOKUP("za",WkDagen[],YEAR(NOW())-2020,FALSE),""))</f>
        <v/>
      </c>
      <c r="J15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54" s="498" t="str">
        <f ca="1">IF(Inventarisatie[[#This Row],[Freq. Ma-Vr]]=0,0,IF(_xlfn.XLOOKUP(Inventarisatie[[#This Row],[Locatie]],Tabel2[Locatiecode],Tabel2[Basisfrequentie],0,0)=Locatieoverzicht!$F$47,VLOOKUP("fe",WkDagen[],YEAR(NOW())-2020,FALSE),""))</f>
        <v/>
      </c>
    </row>
    <row r="155" spans="1:11" x14ac:dyDescent="0.2">
      <c r="A155" s="493" t="s">
        <v>93</v>
      </c>
      <c r="B155" s="492" t="s">
        <v>301</v>
      </c>
      <c r="C155" s="493" t="s">
        <v>71</v>
      </c>
      <c r="D155" s="491" t="s">
        <v>312</v>
      </c>
      <c r="E155" s="493" t="s">
        <v>37</v>
      </c>
      <c r="F155" s="497" t="s">
        <v>6</v>
      </c>
      <c r="G155" s="494">
        <v>2.7</v>
      </c>
      <c r="H155" s="495" cm="1">
        <f t="array" aca="1" ref="H15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55" s="498" t="str">
        <f ca="1">IF(Inventarisatie[[#This Row],[Freq. Ma-Vr]]=0,0,IF(ISNUMBER(SEARCH("/",_xlfn.XLOOKUP(Inventarisatie[[#This Row],[Locatie]],Tabel2[Locatiecode],Tabel2[Basisfrequentie],0,0))),VLOOKUP("za",WkDagen[],YEAR(NOW())-2020,FALSE),""))</f>
        <v/>
      </c>
      <c r="J15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55" s="498" t="str">
        <f ca="1">IF(Inventarisatie[[#This Row],[Freq. Ma-Vr]]=0,0,IF(_xlfn.XLOOKUP(Inventarisatie[[#This Row],[Locatie]],Tabel2[Locatiecode],Tabel2[Basisfrequentie],0,0)=Locatieoverzicht!$F$47,VLOOKUP("fe",WkDagen[],YEAR(NOW())-2020,FALSE),""))</f>
        <v/>
      </c>
    </row>
    <row r="156" spans="1:11" x14ac:dyDescent="0.2">
      <c r="A156" s="491" t="s">
        <v>93</v>
      </c>
      <c r="B156" s="492" t="s">
        <v>301</v>
      </c>
      <c r="C156" s="493" t="s">
        <v>74</v>
      </c>
      <c r="D156" s="491" t="s">
        <v>312</v>
      </c>
      <c r="E156" s="493" t="s">
        <v>97</v>
      </c>
      <c r="F156" s="493" t="s">
        <v>6</v>
      </c>
      <c r="G156" s="494">
        <v>6.8</v>
      </c>
      <c r="H156" s="495" cm="1">
        <f t="array" aca="1" ref="H15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56" s="498" t="str">
        <f ca="1">IF(Inventarisatie[[#This Row],[Freq. Ma-Vr]]=0,0,IF(ISNUMBER(SEARCH("/",_xlfn.XLOOKUP(Inventarisatie[[#This Row],[Locatie]],Tabel2[Locatiecode],Tabel2[Basisfrequentie],0,0))),VLOOKUP("za",WkDagen[],YEAR(NOW())-2020,FALSE),""))</f>
        <v/>
      </c>
      <c r="J15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56" s="498" t="str">
        <f ca="1">IF(Inventarisatie[[#This Row],[Freq. Ma-Vr]]=0,0,IF(_xlfn.XLOOKUP(Inventarisatie[[#This Row],[Locatie]],Tabel2[Locatiecode],Tabel2[Basisfrequentie],0,0)=Locatieoverzicht!$F$47,VLOOKUP("fe",WkDagen[],YEAR(NOW())-2020,FALSE),""))</f>
        <v/>
      </c>
    </row>
    <row r="157" spans="1:11" x14ac:dyDescent="0.2">
      <c r="A157" s="491" t="s">
        <v>98</v>
      </c>
      <c r="B157" s="492" t="s">
        <v>301</v>
      </c>
      <c r="C157" s="493" t="s">
        <v>60</v>
      </c>
      <c r="D157" s="491" t="s">
        <v>312</v>
      </c>
      <c r="E157" s="493" t="s">
        <v>37</v>
      </c>
      <c r="F157" s="493" t="s">
        <v>39</v>
      </c>
      <c r="G157" s="494">
        <v>2.2000000000000002</v>
      </c>
      <c r="H157" s="495" cm="1">
        <f t="array" aca="1" ref="H15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57" s="498" t="str">
        <f ca="1">IF(Inventarisatie[[#This Row],[Freq. Ma-Vr]]=0,0,IF(ISNUMBER(SEARCH("/",_xlfn.XLOOKUP(Inventarisatie[[#This Row],[Locatie]],Tabel2[Locatiecode],Tabel2[Basisfrequentie],0,0))),VLOOKUP("za",WkDagen[],YEAR(NOW())-2020,FALSE),""))</f>
        <v/>
      </c>
      <c r="J15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57" s="498" t="str">
        <f ca="1">IF(Inventarisatie[[#This Row],[Freq. Ma-Vr]]=0,0,IF(_xlfn.XLOOKUP(Inventarisatie[[#This Row],[Locatie]],Tabel2[Locatiecode],Tabel2[Basisfrequentie],0,0)=Locatieoverzicht!$F$47,VLOOKUP("fe",WkDagen[],YEAR(NOW())-2020,FALSE),""))</f>
        <v/>
      </c>
    </row>
    <row r="158" spans="1:11" x14ac:dyDescent="0.2">
      <c r="A158" s="493" t="s">
        <v>98</v>
      </c>
      <c r="B158" s="492" t="s">
        <v>301</v>
      </c>
      <c r="C158" s="493" t="s">
        <v>62</v>
      </c>
      <c r="D158" s="491" t="s">
        <v>310</v>
      </c>
      <c r="E158" s="493" t="s">
        <v>19</v>
      </c>
      <c r="F158" s="497" t="s">
        <v>6</v>
      </c>
      <c r="G158" s="494">
        <v>37.299999999999997</v>
      </c>
      <c r="H158" s="495" cm="1">
        <f t="array" aca="1" ref="H15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58" s="498" t="str">
        <f ca="1">IF(Inventarisatie[[#This Row],[Freq. Ma-Vr]]=0,0,IF(ISNUMBER(SEARCH("/",_xlfn.XLOOKUP(Inventarisatie[[#This Row],[Locatie]],Tabel2[Locatiecode],Tabel2[Basisfrequentie],0,0))),VLOOKUP("za",WkDagen[],YEAR(NOW())-2020,FALSE),""))</f>
        <v/>
      </c>
      <c r="J15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58" s="498" t="str">
        <f ca="1">IF(Inventarisatie[[#This Row],[Freq. Ma-Vr]]=0,0,IF(_xlfn.XLOOKUP(Inventarisatie[[#This Row],[Locatie]],Tabel2[Locatiecode],Tabel2[Basisfrequentie],0,0)=Locatieoverzicht!$F$47,VLOOKUP("fe",WkDagen[],YEAR(NOW())-2020,FALSE),""))</f>
        <v/>
      </c>
    </row>
    <row r="159" spans="1:11" x14ac:dyDescent="0.2">
      <c r="A159" s="491" t="s">
        <v>98</v>
      </c>
      <c r="B159" s="492" t="s">
        <v>301</v>
      </c>
      <c r="C159" s="493" t="s">
        <v>64</v>
      </c>
      <c r="D159" s="491" t="s">
        <v>312</v>
      </c>
      <c r="E159" s="493" t="s">
        <v>80</v>
      </c>
      <c r="F159" s="493" t="s">
        <v>6</v>
      </c>
      <c r="G159" s="494">
        <v>0.7</v>
      </c>
      <c r="H159" s="495" cm="1">
        <f t="array" aca="1" ref="H15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59" s="498" t="str">
        <f ca="1">IF(Inventarisatie[[#This Row],[Freq. Ma-Vr]]=0,0,IF(ISNUMBER(SEARCH("/",_xlfn.XLOOKUP(Inventarisatie[[#This Row],[Locatie]],Tabel2[Locatiecode],Tabel2[Basisfrequentie],0,0))),VLOOKUP("za",WkDagen[],YEAR(NOW())-2020,FALSE),""))</f>
        <v/>
      </c>
      <c r="J15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59" s="498" t="str">
        <f ca="1">IF(Inventarisatie[[#This Row],[Freq. Ma-Vr]]=0,0,IF(_xlfn.XLOOKUP(Inventarisatie[[#This Row],[Locatie]],Tabel2[Locatiecode],Tabel2[Basisfrequentie],0,0)=Locatieoverzicht!$F$47,VLOOKUP("fe",WkDagen[],YEAR(NOW())-2020,FALSE),""))</f>
        <v/>
      </c>
    </row>
    <row r="160" spans="1:11" x14ac:dyDescent="0.2">
      <c r="A160" s="493" t="s">
        <v>98</v>
      </c>
      <c r="B160" s="492" t="s">
        <v>301</v>
      </c>
      <c r="C160" s="493" t="s">
        <v>65</v>
      </c>
      <c r="D160" s="491" t="s">
        <v>311</v>
      </c>
      <c r="E160" s="493" t="s">
        <v>16</v>
      </c>
      <c r="F160" s="497" t="s">
        <v>17</v>
      </c>
      <c r="G160" s="494">
        <v>0.8</v>
      </c>
      <c r="H160" s="495" cm="1">
        <f t="array" aca="1" ref="H16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60" s="498" t="str">
        <f ca="1">IF(Inventarisatie[[#This Row],[Freq. Ma-Vr]]=0,0,IF(ISNUMBER(SEARCH("/",_xlfn.XLOOKUP(Inventarisatie[[#This Row],[Locatie]],Tabel2[Locatiecode],Tabel2[Basisfrequentie],0,0))),VLOOKUP("za",WkDagen[],YEAR(NOW())-2020,FALSE),""))</f>
        <v/>
      </c>
      <c r="J16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60" s="498" t="str">
        <f ca="1">IF(Inventarisatie[[#This Row],[Freq. Ma-Vr]]=0,0,IF(_xlfn.XLOOKUP(Inventarisatie[[#This Row],[Locatie]],Tabel2[Locatiecode],Tabel2[Basisfrequentie],0,0)=Locatieoverzicht!$F$47,VLOOKUP("fe",WkDagen[],YEAR(NOW())-2020,FALSE),""))</f>
        <v/>
      </c>
    </row>
    <row r="161" spans="1:11" x14ac:dyDescent="0.2">
      <c r="A161" s="491" t="s">
        <v>98</v>
      </c>
      <c r="B161" s="492" t="s">
        <v>301</v>
      </c>
      <c r="C161" s="493" t="s">
        <v>66</v>
      </c>
      <c r="D161" s="491" t="s">
        <v>311</v>
      </c>
      <c r="E161" s="493" t="s">
        <v>16</v>
      </c>
      <c r="F161" s="493" t="s">
        <v>17</v>
      </c>
      <c r="G161" s="494">
        <v>1.2</v>
      </c>
      <c r="H161" s="495" cm="1">
        <f t="array" aca="1" ref="H16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61" s="498" t="str">
        <f ca="1">IF(Inventarisatie[[#This Row],[Freq. Ma-Vr]]=0,0,IF(ISNUMBER(SEARCH("/",_xlfn.XLOOKUP(Inventarisatie[[#This Row],[Locatie]],Tabel2[Locatiecode],Tabel2[Basisfrequentie],0,0))),VLOOKUP("za",WkDagen[],YEAR(NOW())-2020,FALSE),""))</f>
        <v/>
      </c>
      <c r="J16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61" s="498" t="str">
        <f ca="1">IF(Inventarisatie[[#This Row],[Freq. Ma-Vr]]=0,0,IF(_xlfn.XLOOKUP(Inventarisatie[[#This Row],[Locatie]],Tabel2[Locatiecode],Tabel2[Basisfrequentie],0,0)=Locatieoverzicht!$F$47,VLOOKUP("fe",WkDagen[],YEAR(NOW())-2020,FALSE),""))</f>
        <v/>
      </c>
    </row>
    <row r="162" spans="1:11" x14ac:dyDescent="0.2">
      <c r="A162" s="493" t="s">
        <v>98</v>
      </c>
      <c r="B162" s="492" t="s">
        <v>301</v>
      </c>
      <c r="C162" s="493" t="s">
        <v>67</v>
      </c>
      <c r="D162" s="491" t="s">
        <v>308</v>
      </c>
      <c r="E162" s="493" t="s">
        <v>35</v>
      </c>
      <c r="F162" s="497" t="s">
        <v>6</v>
      </c>
      <c r="G162" s="494">
        <v>3.5</v>
      </c>
      <c r="H162" s="495" cm="1">
        <f t="array" aca="1" ref="H16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62" s="498" t="str">
        <f ca="1">IF(Inventarisatie[[#This Row],[Freq. Ma-Vr]]=0,0,IF(ISNUMBER(SEARCH("/",_xlfn.XLOOKUP(Inventarisatie[[#This Row],[Locatie]],Tabel2[Locatiecode],Tabel2[Basisfrequentie],0,0))),VLOOKUP("za",WkDagen[],YEAR(NOW())-2020,FALSE),""))</f>
        <v/>
      </c>
      <c r="J16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62" s="498" t="str">
        <f ca="1">IF(Inventarisatie[[#This Row],[Freq. Ma-Vr]]=0,0,IF(_xlfn.XLOOKUP(Inventarisatie[[#This Row],[Locatie]],Tabel2[Locatiecode],Tabel2[Basisfrequentie],0,0)=Locatieoverzicht!$F$47,VLOOKUP("fe",WkDagen[],YEAR(NOW())-2020,FALSE),""))</f>
        <v/>
      </c>
    </row>
    <row r="163" spans="1:11" x14ac:dyDescent="0.2">
      <c r="A163" s="491" t="s">
        <v>98</v>
      </c>
      <c r="B163" s="492" t="s">
        <v>301</v>
      </c>
      <c r="C163" s="493" t="s">
        <v>68</v>
      </c>
      <c r="D163" s="491" t="s">
        <v>312</v>
      </c>
      <c r="E163" s="493" t="s">
        <v>88</v>
      </c>
      <c r="F163" s="493" t="s">
        <v>6</v>
      </c>
      <c r="G163" s="494">
        <v>0.9</v>
      </c>
      <c r="H163" s="495" cm="1">
        <f t="array" aca="1" ref="H16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63" s="498" t="str">
        <f ca="1">IF(Inventarisatie[[#This Row],[Freq. Ma-Vr]]=0,0,IF(ISNUMBER(SEARCH("/",_xlfn.XLOOKUP(Inventarisatie[[#This Row],[Locatie]],Tabel2[Locatiecode],Tabel2[Basisfrequentie],0,0))),VLOOKUP("za",WkDagen[],YEAR(NOW())-2020,FALSE),""))</f>
        <v/>
      </c>
      <c r="J16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63" s="498" t="str">
        <f ca="1">IF(Inventarisatie[[#This Row],[Freq. Ma-Vr]]=0,0,IF(_xlfn.XLOOKUP(Inventarisatie[[#This Row],[Locatie]],Tabel2[Locatiecode],Tabel2[Basisfrequentie],0,0)=Locatieoverzicht!$F$47,VLOOKUP("fe",WkDagen[],YEAR(NOW())-2020,FALSE),""))</f>
        <v/>
      </c>
    </row>
    <row r="164" spans="1:11" x14ac:dyDescent="0.2">
      <c r="A164" s="493" t="s">
        <v>98</v>
      </c>
      <c r="B164" s="492" t="s">
        <v>301</v>
      </c>
      <c r="C164" s="493" t="s">
        <v>72</v>
      </c>
      <c r="D164" s="491" t="s">
        <v>310</v>
      </c>
      <c r="E164" s="493" t="s">
        <v>5</v>
      </c>
      <c r="F164" s="497" t="s">
        <v>6</v>
      </c>
      <c r="G164" s="494">
        <v>12.9</v>
      </c>
      <c r="H164" s="495" cm="1">
        <f t="array" aca="1" ref="H16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64" s="498" t="str">
        <f ca="1">IF(Inventarisatie[[#This Row],[Freq. Ma-Vr]]=0,0,IF(ISNUMBER(SEARCH("/",_xlfn.XLOOKUP(Inventarisatie[[#This Row],[Locatie]],Tabel2[Locatiecode],Tabel2[Basisfrequentie],0,0))),VLOOKUP("za",WkDagen[],YEAR(NOW())-2020,FALSE),""))</f>
        <v/>
      </c>
      <c r="J16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64" s="498" t="str">
        <f ca="1">IF(Inventarisatie[[#This Row],[Freq. Ma-Vr]]=0,0,IF(_xlfn.XLOOKUP(Inventarisatie[[#This Row],[Locatie]],Tabel2[Locatiecode],Tabel2[Basisfrequentie],0,0)=Locatieoverzicht!$F$47,VLOOKUP("fe",WkDagen[],YEAR(NOW())-2020,FALSE),""))</f>
        <v/>
      </c>
    </row>
    <row r="165" spans="1:11" x14ac:dyDescent="0.2">
      <c r="A165" s="491" t="s">
        <v>98</v>
      </c>
      <c r="B165" s="492" t="s">
        <v>301</v>
      </c>
      <c r="C165" s="493" t="s">
        <v>69</v>
      </c>
      <c r="D165" s="491" t="s">
        <v>310</v>
      </c>
      <c r="E165" s="493" t="s">
        <v>5</v>
      </c>
      <c r="F165" s="493" t="s">
        <v>6</v>
      </c>
      <c r="G165" s="494">
        <v>19.899999999999999</v>
      </c>
      <c r="H165" s="495" cm="1">
        <f t="array" aca="1" ref="H16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65" s="498" t="str">
        <f ca="1">IF(Inventarisatie[[#This Row],[Freq. Ma-Vr]]=0,0,IF(ISNUMBER(SEARCH("/",_xlfn.XLOOKUP(Inventarisatie[[#This Row],[Locatie]],Tabel2[Locatiecode],Tabel2[Basisfrequentie],0,0))),VLOOKUP("za",WkDagen[],YEAR(NOW())-2020,FALSE),""))</f>
        <v/>
      </c>
      <c r="J16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65" s="498" t="str">
        <f ca="1">IF(Inventarisatie[[#This Row],[Freq. Ma-Vr]]=0,0,IF(_xlfn.XLOOKUP(Inventarisatie[[#This Row],[Locatie]],Tabel2[Locatiecode],Tabel2[Basisfrequentie],0,0)=Locatieoverzicht!$F$47,VLOOKUP("fe",WkDagen[],YEAR(NOW())-2020,FALSE),""))</f>
        <v/>
      </c>
    </row>
    <row r="166" spans="1:11" x14ac:dyDescent="0.2">
      <c r="A166" s="501" t="s">
        <v>99</v>
      </c>
      <c r="B166" s="492" t="s">
        <v>301</v>
      </c>
      <c r="C166" s="501" t="s">
        <v>100</v>
      </c>
      <c r="D166" s="491" t="s">
        <v>312</v>
      </c>
      <c r="E166" s="501" t="s">
        <v>37</v>
      </c>
      <c r="F166" s="502" t="s">
        <v>6</v>
      </c>
      <c r="G166" s="494">
        <v>9</v>
      </c>
      <c r="H166" s="495" cm="1">
        <f t="array" aca="1" ref="H16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66" s="498" t="str">
        <f ca="1">IF(Inventarisatie[[#This Row],[Freq. Ma-Vr]]=0,0,IF(ISNUMBER(SEARCH("/",_xlfn.XLOOKUP(Inventarisatie[[#This Row],[Locatie]],Tabel2[Locatiecode],Tabel2[Basisfrequentie],0,0))),VLOOKUP("za",WkDagen[],YEAR(NOW())-2020,FALSE),""))</f>
        <v/>
      </c>
      <c r="J16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66" s="498" t="str">
        <f ca="1">IF(Inventarisatie[[#This Row],[Freq. Ma-Vr]]=0,0,IF(_xlfn.XLOOKUP(Inventarisatie[[#This Row],[Locatie]],Tabel2[Locatiecode],Tabel2[Basisfrequentie],0,0)=Locatieoverzicht!$F$47,VLOOKUP("fe",WkDagen[],YEAR(NOW())-2020,FALSE),""))</f>
        <v/>
      </c>
    </row>
    <row r="167" spans="1:11" x14ac:dyDescent="0.2">
      <c r="A167" s="501" t="s">
        <v>99</v>
      </c>
      <c r="B167" s="492" t="s">
        <v>301</v>
      </c>
      <c r="C167" s="501" t="s">
        <v>101</v>
      </c>
      <c r="D167" s="491" t="s">
        <v>24</v>
      </c>
      <c r="E167" s="501" t="s">
        <v>24</v>
      </c>
      <c r="F167" s="502" t="s">
        <v>6</v>
      </c>
      <c r="G167" s="494">
        <v>40.299999999999997</v>
      </c>
      <c r="H167" s="495" cm="1">
        <f t="array" aca="1" ref="H16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67" s="498" t="str">
        <f ca="1">IF(Inventarisatie[[#This Row],[Freq. Ma-Vr]]=0,0,IF(ISNUMBER(SEARCH("/",_xlfn.XLOOKUP(Inventarisatie[[#This Row],[Locatie]],Tabel2[Locatiecode],Tabel2[Basisfrequentie],0,0))),VLOOKUP("za",WkDagen[],YEAR(NOW())-2020,FALSE),""))</f>
        <v/>
      </c>
      <c r="J16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67" s="498" t="str">
        <f ca="1">IF(Inventarisatie[[#This Row],[Freq. Ma-Vr]]=0,0,IF(_xlfn.XLOOKUP(Inventarisatie[[#This Row],[Locatie]],Tabel2[Locatiecode],Tabel2[Basisfrequentie],0,0)=Locatieoverzicht!$F$47,VLOOKUP("fe",WkDagen[],YEAR(NOW())-2020,FALSE),""))</f>
        <v/>
      </c>
    </row>
    <row r="168" spans="1:11" x14ac:dyDescent="0.2">
      <c r="A168" s="501" t="s">
        <v>99</v>
      </c>
      <c r="B168" s="492" t="s">
        <v>301</v>
      </c>
      <c r="C168" s="501" t="s">
        <v>102</v>
      </c>
      <c r="D168" s="491" t="s">
        <v>311</v>
      </c>
      <c r="E168" s="501" t="s">
        <v>16</v>
      </c>
      <c r="F168" s="502" t="s">
        <v>17</v>
      </c>
      <c r="G168" s="494">
        <v>1.2</v>
      </c>
      <c r="H168" s="495" cm="1">
        <f t="array" aca="1" ref="H16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68" s="498" t="str">
        <f ca="1">IF(Inventarisatie[[#This Row],[Freq. Ma-Vr]]=0,0,IF(ISNUMBER(SEARCH("/",_xlfn.XLOOKUP(Inventarisatie[[#This Row],[Locatie]],Tabel2[Locatiecode],Tabel2[Basisfrequentie],0,0))),VLOOKUP("za",WkDagen[],YEAR(NOW())-2020,FALSE),""))</f>
        <v/>
      </c>
      <c r="J16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68" s="498" t="str">
        <f ca="1">IF(Inventarisatie[[#This Row],[Freq. Ma-Vr]]=0,0,IF(_xlfn.XLOOKUP(Inventarisatie[[#This Row],[Locatie]],Tabel2[Locatiecode],Tabel2[Basisfrequentie],0,0)=Locatieoverzicht!$F$47,VLOOKUP("fe",WkDagen[],YEAR(NOW())-2020,FALSE),""))</f>
        <v/>
      </c>
    </row>
    <row r="169" spans="1:11" x14ac:dyDescent="0.2">
      <c r="A169" s="501" t="s">
        <v>99</v>
      </c>
      <c r="B169" s="492" t="s">
        <v>301</v>
      </c>
      <c r="C169" s="501" t="s">
        <v>103</v>
      </c>
      <c r="D169" s="491" t="s">
        <v>312</v>
      </c>
      <c r="E169" s="501" t="s">
        <v>21</v>
      </c>
      <c r="F169" s="502" t="s">
        <v>6</v>
      </c>
      <c r="G169" s="494">
        <v>9.3000000000000007</v>
      </c>
      <c r="H169" s="495" cm="1">
        <f t="array" aca="1" ref="H16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69" s="498" t="str">
        <f ca="1">IF(Inventarisatie[[#This Row],[Freq. Ma-Vr]]=0,0,IF(ISNUMBER(SEARCH("/",_xlfn.XLOOKUP(Inventarisatie[[#This Row],[Locatie]],Tabel2[Locatiecode],Tabel2[Basisfrequentie],0,0))),VLOOKUP("za",WkDagen[],YEAR(NOW())-2020,FALSE),""))</f>
        <v/>
      </c>
      <c r="J16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69" s="498" t="str">
        <f ca="1">IF(Inventarisatie[[#This Row],[Freq. Ma-Vr]]=0,0,IF(_xlfn.XLOOKUP(Inventarisatie[[#This Row],[Locatie]],Tabel2[Locatiecode],Tabel2[Basisfrequentie],0,0)=Locatieoverzicht!$F$47,VLOOKUP("fe",WkDagen[],YEAR(NOW())-2020,FALSE),""))</f>
        <v/>
      </c>
    </row>
    <row r="170" spans="1:11" x14ac:dyDescent="0.2">
      <c r="A170" s="501" t="s">
        <v>99</v>
      </c>
      <c r="B170" s="492" t="s">
        <v>301</v>
      </c>
      <c r="C170" s="501" t="s">
        <v>104</v>
      </c>
      <c r="D170" s="491" t="s">
        <v>310</v>
      </c>
      <c r="E170" s="493" t="s">
        <v>5</v>
      </c>
      <c r="F170" s="502" t="s">
        <v>6</v>
      </c>
      <c r="G170" s="494">
        <v>20.399999999999999</v>
      </c>
      <c r="H170" s="495" cm="1">
        <f t="array" aca="1" ref="H17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70" s="498" t="str">
        <f ca="1">IF(Inventarisatie[[#This Row],[Freq. Ma-Vr]]=0,0,IF(ISNUMBER(SEARCH("/",_xlfn.XLOOKUP(Inventarisatie[[#This Row],[Locatie]],Tabel2[Locatiecode],Tabel2[Basisfrequentie],0,0))),VLOOKUP("za",WkDagen[],YEAR(NOW())-2020,FALSE),""))</f>
        <v/>
      </c>
      <c r="J17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70" s="498" t="str">
        <f ca="1">IF(Inventarisatie[[#This Row],[Freq. Ma-Vr]]=0,0,IF(_xlfn.XLOOKUP(Inventarisatie[[#This Row],[Locatie]],Tabel2[Locatiecode],Tabel2[Basisfrequentie],0,0)=Locatieoverzicht!$F$47,VLOOKUP("fe",WkDagen[],YEAR(NOW())-2020,FALSE),""))</f>
        <v/>
      </c>
    </row>
    <row r="171" spans="1:11" x14ac:dyDescent="0.2">
      <c r="A171" s="501" t="s">
        <v>99</v>
      </c>
      <c r="B171" s="492" t="s">
        <v>301</v>
      </c>
      <c r="C171" s="501" t="s">
        <v>105</v>
      </c>
      <c r="D171" s="491" t="s">
        <v>310</v>
      </c>
      <c r="E171" s="493" t="s">
        <v>5</v>
      </c>
      <c r="F171" s="502" t="s">
        <v>6</v>
      </c>
      <c r="G171" s="494">
        <v>20.2</v>
      </c>
      <c r="H171" s="495" cm="1">
        <f t="array" aca="1" ref="H17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71" s="498" t="str">
        <f ca="1">IF(Inventarisatie[[#This Row],[Freq. Ma-Vr]]=0,0,IF(ISNUMBER(SEARCH("/",_xlfn.XLOOKUP(Inventarisatie[[#This Row],[Locatie]],Tabel2[Locatiecode],Tabel2[Basisfrequentie],0,0))),VLOOKUP("za",WkDagen[],YEAR(NOW())-2020,FALSE),""))</f>
        <v/>
      </c>
      <c r="J17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71" s="498" t="str">
        <f ca="1">IF(Inventarisatie[[#This Row],[Freq. Ma-Vr]]=0,0,IF(_xlfn.XLOOKUP(Inventarisatie[[#This Row],[Locatie]],Tabel2[Locatiecode],Tabel2[Basisfrequentie],0,0)=Locatieoverzicht!$F$47,VLOOKUP("fe",WkDagen[],YEAR(NOW())-2020,FALSE),""))</f>
        <v/>
      </c>
    </row>
    <row r="172" spans="1:11" x14ac:dyDescent="0.2">
      <c r="A172" s="501" t="s">
        <v>99</v>
      </c>
      <c r="B172" s="492" t="s">
        <v>301</v>
      </c>
      <c r="C172" s="501" t="s">
        <v>33</v>
      </c>
      <c r="D172" s="491" t="s">
        <v>307</v>
      </c>
      <c r="E172" s="501" t="s">
        <v>26</v>
      </c>
      <c r="F172" s="502" t="s">
        <v>6</v>
      </c>
      <c r="G172" s="494">
        <v>20.7</v>
      </c>
      <c r="H172" s="495" cm="1">
        <f t="array" aca="1" ref="H17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72" s="498" t="str">
        <f ca="1">IF(Inventarisatie[[#This Row],[Freq. Ma-Vr]]=0,0,IF(ISNUMBER(SEARCH("/",_xlfn.XLOOKUP(Inventarisatie[[#This Row],[Locatie]],Tabel2[Locatiecode],Tabel2[Basisfrequentie],0,0))),VLOOKUP("za",WkDagen[],YEAR(NOW())-2020,FALSE),""))</f>
        <v/>
      </c>
      <c r="J17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72" s="498" t="str">
        <f ca="1">IF(Inventarisatie[[#This Row],[Freq. Ma-Vr]]=0,0,IF(_xlfn.XLOOKUP(Inventarisatie[[#This Row],[Locatie]],Tabel2[Locatiecode],Tabel2[Basisfrequentie],0,0)=Locatieoverzicht!$F$47,VLOOKUP("fe",WkDagen[],YEAR(NOW())-2020,FALSE),""))</f>
        <v/>
      </c>
    </row>
    <row r="173" spans="1:11" x14ac:dyDescent="0.2">
      <c r="A173" s="501" t="s">
        <v>99</v>
      </c>
      <c r="B173" s="492" t="s">
        <v>301</v>
      </c>
      <c r="C173" s="501" t="s">
        <v>106</v>
      </c>
      <c r="D173" s="491" t="s">
        <v>312</v>
      </c>
      <c r="E173" s="501" t="s">
        <v>41</v>
      </c>
      <c r="F173" s="502" t="s">
        <v>6</v>
      </c>
      <c r="G173" s="494">
        <v>33</v>
      </c>
      <c r="H173" s="495" cm="1">
        <f t="array" aca="1" ref="H17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73" s="498" t="str">
        <f ca="1">IF(Inventarisatie[[#This Row],[Freq. Ma-Vr]]=0,0,IF(ISNUMBER(SEARCH("/",_xlfn.XLOOKUP(Inventarisatie[[#This Row],[Locatie]],Tabel2[Locatiecode],Tabel2[Basisfrequentie],0,0))),VLOOKUP("za",WkDagen[],YEAR(NOW())-2020,FALSE),""))</f>
        <v/>
      </c>
      <c r="J17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73" s="498" t="str">
        <f ca="1">IF(Inventarisatie[[#This Row],[Freq. Ma-Vr]]=0,0,IF(_xlfn.XLOOKUP(Inventarisatie[[#This Row],[Locatie]],Tabel2[Locatiecode],Tabel2[Basisfrequentie],0,0)=Locatieoverzicht!$F$47,VLOOKUP("fe",WkDagen[],YEAR(NOW())-2020,FALSE),""))</f>
        <v/>
      </c>
    </row>
    <row r="174" spans="1:11" x14ac:dyDescent="0.2">
      <c r="A174" s="491" t="s">
        <v>107</v>
      </c>
      <c r="B174" s="492" t="s">
        <v>301</v>
      </c>
      <c r="C174" s="493" t="s">
        <v>60</v>
      </c>
      <c r="D174" s="491" t="s">
        <v>312</v>
      </c>
      <c r="E174" s="493" t="s">
        <v>37</v>
      </c>
      <c r="F174" s="493" t="s">
        <v>6</v>
      </c>
      <c r="G174" s="494">
        <v>36.200000000000003</v>
      </c>
      <c r="H174" s="495" cm="1">
        <f t="array" aca="1" ref="H17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74" s="498" t="str">
        <f ca="1">IF(Inventarisatie[[#This Row],[Freq. Ma-Vr]]=0,0,IF(ISNUMBER(SEARCH("/",_xlfn.XLOOKUP(Inventarisatie[[#This Row],[Locatie]],Tabel2[Locatiecode],Tabel2[Basisfrequentie],0,0))),VLOOKUP("za",WkDagen[],YEAR(NOW())-2020,FALSE),""))</f>
        <v/>
      </c>
      <c r="J17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74" s="498" t="str">
        <f ca="1">IF(Inventarisatie[[#This Row],[Freq. Ma-Vr]]=0,0,IF(_xlfn.XLOOKUP(Inventarisatie[[#This Row],[Locatie]],Tabel2[Locatiecode],Tabel2[Basisfrequentie],0,0)=Locatieoverzicht!$F$47,VLOOKUP("fe",WkDagen[],YEAR(NOW())-2020,FALSE),""))</f>
        <v/>
      </c>
    </row>
    <row r="175" spans="1:11" x14ac:dyDescent="0.2">
      <c r="A175" s="493" t="s">
        <v>107</v>
      </c>
      <c r="B175" s="492" t="s">
        <v>301</v>
      </c>
      <c r="C175" s="493" t="s">
        <v>62</v>
      </c>
      <c r="D175" s="491" t="s">
        <v>311</v>
      </c>
      <c r="E175" s="493" t="s">
        <v>16</v>
      </c>
      <c r="F175" s="497" t="s">
        <v>17</v>
      </c>
      <c r="G175" s="494">
        <v>3.9</v>
      </c>
      <c r="H175" s="495" cm="1">
        <f t="array" aca="1" ref="H17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75" s="498" t="str">
        <f ca="1">IF(Inventarisatie[[#This Row],[Freq. Ma-Vr]]=0,0,IF(ISNUMBER(SEARCH("/",_xlfn.XLOOKUP(Inventarisatie[[#This Row],[Locatie]],Tabel2[Locatiecode],Tabel2[Basisfrequentie],0,0))),VLOOKUP("za",WkDagen[],YEAR(NOW())-2020,FALSE),""))</f>
        <v/>
      </c>
      <c r="J17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75" s="498" t="str">
        <f ca="1">IF(Inventarisatie[[#This Row],[Freq. Ma-Vr]]=0,0,IF(_xlfn.XLOOKUP(Inventarisatie[[#This Row],[Locatie]],Tabel2[Locatiecode],Tabel2[Basisfrequentie],0,0)=Locatieoverzicht!$F$47,VLOOKUP("fe",WkDagen[],YEAR(NOW())-2020,FALSE),""))</f>
        <v/>
      </c>
    </row>
    <row r="176" spans="1:11" x14ac:dyDescent="0.2">
      <c r="A176" s="491" t="s">
        <v>107</v>
      </c>
      <c r="B176" s="492" t="s">
        <v>301</v>
      </c>
      <c r="C176" s="493" t="s">
        <v>64</v>
      </c>
      <c r="D176" s="491" t="s">
        <v>307</v>
      </c>
      <c r="E176" s="493" t="s">
        <v>26</v>
      </c>
      <c r="F176" s="493" t="s">
        <v>6</v>
      </c>
      <c r="G176" s="494">
        <v>28</v>
      </c>
      <c r="H176" s="495" cm="1">
        <f t="array" aca="1" ref="H17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76" s="498" t="str">
        <f ca="1">IF(Inventarisatie[[#This Row],[Freq. Ma-Vr]]=0,0,IF(ISNUMBER(SEARCH("/",_xlfn.XLOOKUP(Inventarisatie[[#This Row],[Locatie]],Tabel2[Locatiecode],Tabel2[Basisfrequentie],0,0))),VLOOKUP("za",WkDagen[],YEAR(NOW())-2020,FALSE),""))</f>
        <v/>
      </c>
      <c r="J17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76" s="498" t="str">
        <f ca="1">IF(Inventarisatie[[#This Row],[Freq. Ma-Vr]]=0,0,IF(_xlfn.XLOOKUP(Inventarisatie[[#This Row],[Locatie]],Tabel2[Locatiecode],Tabel2[Basisfrequentie],0,0)=Locatieoverzicht!$F$47,VLOOKUP("fe",WkDagen[],YEAR(NOW())-2020,FALSE),""))</f>
        <v/>
      </c>
    </row>
    <row r="177" spans="1:11" x14ac:dyDescent="0.2">
      <c r="A177" s="493" t="s">
        <v>107</v>
      </c>
      <c r="B177" s="492" t="s">
        <v>301</v>
      </c>
      <c r="C177" s="493" t="s">
        <v>65</v>
      </c>
      <c r="D177" s="491" t="s">
        <v>24</v>
      </c>
      <c r="E177" s="493" t="s">
        <v>24</v>
      </c>
      <c r="F177" s="497" t="s">
        <v>6</v>
      </c>
      <c r="G177" s="494">
        <v>62.7</v>
      </c>
      <c r="H177" s="495" cm="1">
        <f t="array" aca="1" ref="H17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77" s="498" t="str">
        <f ca="1">IF(Inventarisatie[[#This Row],[Freq. Ma-Vr]]=0,0,IF(ISNUMBER(SEARCH("/",_xlfn.XLOOKUP(Inventarisatie[[#This Row],[Locatie]],Tabel2[Locatiecode],Tabel2[Basisfrequentie],0,0))),VLOOKUP("za",WkDagen[],YEAR(NOW())-2020,FALSE),""))</f>
        <v/>
      </c>
      <c r="J17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77" s="498" t="str">
        <f ca="1">IF(Inventarisatie[[#This Row],[Freq. Ma-Vr]]=0,0,IF(_xlfn.XLOOKUP(Inventarisatie[[#This Row],[Locatie]],Tabel2[Locatiecode],Tabel2[Basisfrequentie],0,0)=Locatieoverzicht!$F$47,VLOOKUP("fe",WkDagen[],YEAR(NOW())-2020,FALSE),""))</f>
        <v/>
      </c>
    </row>
    <row r="178" spans="1:11" x14ac:dyDescent="0.2">
      <c r="A178" s="491" t="s">
        <v>107</v>
      </c>
      <c r="B178" s="492" t="s">
        <v>301</v>
      </c>
      <c r="C178" s="493" t="s">
        <v>66</v>
      </c>
      <c r="D178" s="491" t="s">
        <v>310</v>
      </c>
      <c r="E178" s="493" t="s">
        <v>5</v>
      </c>
      <c r="F178" s="493" t="s">
        <v>6</v>
      </c>
      <c r="G178" s="494">
        <v>19.100000000000001</v>
      </c>
      <c r="H178" s="495" cm="1">
        <f t="array" aca="1" ref="H17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78" s="498" t="str">
        <f ca="1">IF(Inventarisatie[[#This Row],[Freq. Ma-Vr]]=0,0,IF(ISNUMBER(SEARCH("/",_xlfn.XLOOKUP(Inventarisatie[[#This Row],[Locatie]],Tabel2[Locatiecode],Tabel2[Basisfrequentie],0,0))),VLOOKUP("za",WkDagen[],YEAR(NOW())-2020,FALSE),""))</f>
        <v/>
      </c>
      <c r="J17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78" s="498" t="str">
        <f ca="1">IF(Inventarisatie[[#This Row],[Freq. Ma-Vr]]=0,0,IF(_xlfn.XLOOKUP(Inventarisatie[[#This Row],[Locatie]],Tabel2[Locatiecode],Tabel2[Basisfrequentie],0,0)=Locatieoverzicht!$F$47,VLOOKUP("fe",WkDagen[],YEAR(NOW())-2020,FALSE),""))</f>
        <v/>
      </c>
    </row>
    <row r="179" spans="1:11" x14ac:dyDescent="0.2">
      <c r="A179" s="493" t="s">
        <v>107</v>
      </c>
      <c r="B179" s="492" t="s">
        <v>301</v>
      </c>
      <c r="C179" s="493" t="s">
        <v>67</v>
      </c>
      <c r="D179" s="491" t="s">
        <v>310</v>
      </c>
      <c r="E179" s="493" t="s">
        <v>5</v>
      </c>
      <c r="F179" s="497" t="s">
        <v>6</v>
      </c>
      <c r="G179" s="494">
        <v>24.4</v>
      </c>
      <c r="H179" s="495" cm="1">
        <f t="array" aca="1" ref="H17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79" s="498" t="str">
        <f ca="1">IF(Inventarisatie[[#This Row],[Freq. Ma-Vr]]=0,0,IF(ISNUMBER(SEARCH("/",_xlfn.XLOOKUP(Inventarisatie[[#This Row],[Locatie]],Tabel2[Locatiecode],Tabel2[Basisfrequentie],0,0))),VLOOKUP("za",WkDagen[],YEAR(NOW())-2020,FALSE),""))</f>
        <v/>
      </c>
      <c r="J17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79" s="498" t="str">
        <f ca="1">IF(Inventarisatie[[#This Row],[Freq. Ma-Vr]]=0,0,IF(_xlfn.XLOOKUP(Inventarisatie[[#This Row],[Locatie]],Tabel2[Locatiecode],Tabel2[Basisfrequentie],0,0)=Locatieoverzicht!$F$47,VLOOKUP("fe",WkDagen[],YEAR(NOW())-2020,FALSE),""))</f>
        <v/>
      </c>
    </row>
    <row r="180" spans="1:11" x14ac:dyDescent="0.2">
      <c r="A180" s="491" t="s">
        <v>107</v>
      </c>
      <c r="B180" s="492" t="s">
        <v>301</v>
      </c>
      <c r="C180" s="493" t="s">
        <v>68</v>
      </c>
      <c r="D180" s="491" t="s">
        <v>308</v>
      </c>
      <c r="E180" s="493" t="s">
        <v>35</v>
      </c>
      <c r="F180" s="493" t="s">
        <v>6</v>
      </c>
      <c r="G180" s="494">
        <v>3.9</v>
      </c>
      <c r="H180" s="495" cm="1">
        <f t="array" aca="1" ref="H18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80" s="498" t="str">
        <f ca="1">IF(Inventarisatie[[#This Row],[Freq. Ma-Vr]]=0,0,IF(ISNUMBER(SEARCH("/",_xlfn.XLOOKUP(Inventarisatie[[#This Row],[Locatie]],Tabel2[Locatiecode],Tabel2[Basisfrequentie],0,0))),VLOOKUP("za",WkDagen[],YEAR(NOW())-2020,FALSE),""))</f>
        <v/>
      </c>
      <c r="J18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80" s="498" t="str">
        <f ca="1">IF(Inventarisatie[[#This Row],[Freq. Ma-Vr]]=0,0,IF(_xlfn.XLOOKUP(Inventarisatie[[#This Row],[Locatie]],Tabel2[Locatiecode],Tabel2[Basisfrequentie],0,0)=Locatieoverzicht!$F$47,VLOOKUP("fe",WkDagen[],YEAR(NOW())-2020,FALSE),""))</f>
        <v/>
      </c>
    </row>
    <row r="181" spans="1:11" x14ac:dyDescent="0.2">
      <c r="A181" s="493" t="s">
        <v>107</v>
      </c>
      <c r="B181" s="492" t="s">
        <v>301</v>
      </c>
      <c r="C181" s="493" t="s">
        <v>72</v>
      </c>
      <c r="D181" s="491" t="s">
        <v>307</v>
      </c>
      <c r="E181" s="493" t="s">
        <v>26</v>
      </c>
      <c r="F181" s="497" t="s">
        <v>39</v>
      </c>
      <c r="G181" s="494">
        <v>14.3</v>
      </c>
      <c r="H181" s="495" cm="1">
        <f t="array" aca="1" ref="H18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81" s="498" t="str">
        <f ca="1">IF(Inventarisatie[[#This Row],[Freq. Ma-Vr]]=0,0,IF(ISNUMBER(SEARCH("/",_xlfn.XLOOKUP(Inventarisatie[[#This Row],[Locatie]],Tabel2[Locatiecode],Tabel2[Basisfrequentie],0,0))),VLOOKUP("za",WkDagen[],YEAR(NOW())-2020,FALSE),""))</f>
        <v/>
      </c>
      <c r="J18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81" s="498" t="str">
        <f ca="1">IF(Inventarisatie[[#This Row],[Freq. Ma-Vr]]=0,0,IF(_xlfn.XLOOKUP(Inventarisatie[[#This Row],[Locatie]],Tabel2[Locatiecode],Tabel2[Basisfrequentie],0,0)=Locatieoverzicht!$F$47,VLOOKUP("fe",WkDagen[],YEAR(NOW())-2020,FALSE),""))</f>
        <v/>
      </c>
    </row>
    <row r="182" spans="1:11" x14ac:dyDescent="0.2">
      <c r="A182" s="491" t="s">
        <v>107</v>
      </c>
      <c r="B182" s="492" t="s">
        <v>301</v>
      </c>
      <c r="C182" s="493" t="s">
        <v>69</v>
      </c>
      <c r="D182" s="491" t="s">
        <v>307</v>
      </c>
      <c r="E182" s="493" t="s">
        <v>26</v>
      </c>
      <c r="F182" s="493" t="s">
        <v>39</v>
      </c>
      <c r="G182" s="494">
        <v>14.3</v>
      </c>
      <c r="H182" s="495" cm="1">
        <f t="array" aca="1" ref="H18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82" s="498" t="str">
        <f ca="1">IF(Inventarisatie[[#This Row],[Freq. Ma-Vr]]=0,0,IF(ISNUMBER(SEARCH("/",_xlfn.XLOOKUP(Inventarisatie[[#This Row],[Locatie]],Tabel2[Locatiecode],Tabel2[Basisfrequentie],0,0))),VLOOKUP("za",WkDagen[],YEAR(NOW())-2020,FALSE),""))</f>
        <v/>
      </c>
      <c r="J18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82" s="498" t="str">
        <f ca="1">IF(Inventarisatie[[#This Row],[Freq. Ma-Vr]]=0,0,IF(_xlfn.XLOOKUP(Inventarisatie[[#This Row],[Locatie]],Tabel2[Locatiecode],Tabel2[Basisfrequentie],0,0)=Locatieoverzicht!$F$47,VLOOKUP("fe",WkDagen[],YEAR(NOW())-2020,FALSE),""))</f>
        <v/>
      </c>
    </row>
    <row r="183" spans="1:11" x14ac:dyDescent="0.2">
      <c r="A183" s="493" t="s">
        <v>107</v>
      </c>
      <c r="B183" s="492" t="s">
        <v>301</v>
      </c>
      <c r="C183" s="493" t="s">
        <v>95</v>
      </c>
      <c r="D183" s="491" t="s">
        <v>310</v>
      </c>
      <c r="E183" s="493" t="s">
        <v>5</v>
      </c>
      <c r="F183" s="497" t="s">
        <v>6</v>
      </c>
      <c r="G183" s="494">
        <v>29.2</v>
      </c>
      <c r="H183" s="495" cm="1">
        <f t="array" aca="1" ref="H18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83" s="498" t="str">
        <f ca="1">IF(Inventarisatie[[#This Row],[Freq. Ma-Vr]]=0,0,IF(ISNUMBER(SEARCH("/",_xlfn.XLOOKUP(Inventarisatie[[#This Row],[Locatie]],Tabel2[Locatiecode],Tabel2[Basisfrequentie],0,0))),VLOOKUP("za",WkDagen[],YEAR(NOW())-2020,FALSE),""))</f>
        <v/>
      </c>
      <c r="J18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83" s="498" t="str">
        <f ca="1">IF(Inventarisatie[[#This Row],[Freq. Ma-Vr]]=0,0,IF(_xlfn.XLOOKUP(Inventarisatie[[#This Row],[Locatie]],Tabel2[Locatiecode],Tabel2[Basisfrequentie],0,0)=Locatieoverzicht!$F$47,VLOOKUP("fe",WkDagen[],YEAR(NOW())-2020,FALSE),""))</f>
        <v/>
      </c>
    </row>
    <row r="184" spans="1:11" x14ac:dyDescent="0.2">
      <c r="A184" s="491" t="s">
        <v>107</v>
      </c>
      <c r="B184" s="492" t="s">
        <v>301</v>
      </c>
      <c r="C184" s="493" t="s">
        <v>73</v>
      </c>
      <c r="D184" s="491" t="s">
        <v>312</v>
      </c>
      <c r="E184" s="493" t="s">
        <v>21</v>
      </c>
      <c r="F184" s="493" t="s">
        <v>6</v>
      </c>
      <c r="G184" s="494">
        <v>4.5999999999999996</v>
      </c>
      <c r="H184" s="495" cm="1">
        <f t="array" aca="1" ref="H18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84" s="498" t="str">
        <f ca="1">IF(Inventarisatie[[#This Row],[Freq. Ma-Vr]]=0,0,IF(ISNUMBER(SEARCH("/",_xlfn.XLOOKUP(Inventarisatie[[#This Row],[Locatie]],Tabel2[Locatiecode],Tabel2[Basisfrequentie],0,0))),VLOOKUP("za",WkDagen[],YEAR(NOW())-2020,FALSE),""))</f>
        <v/>
      </c>
      <c r="J18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84" s="498" t="str">
        <f ca="1">IF(Inventarisatie[[#This Row],[Freq. Ma-Vr]]=0,0,IF(_xlfn.XLOOKUP(Inventarisatie[[#This Row],[Locatie]],Tabel2[Locatiecode],Tabel2[Basisfrequentie],0,0)=Locatieoverzicht!$F$47,VLOOKUP("fe",WkDagen[],YEAR(NOW())-2020,FALSE),""))</f>
        <v/>
      </c>
    </row>
    <row r="185" spans="1:11" x14ac:dyDescent="0.2">
      <c r="A185" s="491" t="s">
        <v>108</v>
      </c>
      <c r="B185" s="492" t="s">
        <v>301</v>
      </c>
      <c r="C185" s="493" t="s">
        <v>66</v>
      </c>
      <c r="D185" s="491" t="s">
        <v>24</v>
      </c>
      <c r="E185" s="493" t="s">
        <v>24</v>
      </c>
      <c r="F185" s="493" t="s">
        <v>6</v>
      </c>
      <c r="G185" s="494">
        <v>78.099999999999994</v>
      </c>
      <c r="H185" s="495" cm="1">
        <f t="array" aca="1" ref="H18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85" s="498" t="str">
        <f ca="1">IF(Inventarisatie[[#This Row],[Freq. Ma-Vr]]=0,0,IF(ISNUMBER(SEARCH("/",_xlfn.XLOOKUP(Inventarisatie[[#This Row],[Locatie]],Tabel2[Locatiecode],Tabel2[Basisfrequentie],0,0))),VLOOKUP("za",WkDagen[],YEAR(NOW())-2020,FALSE),""))</f>
        <v/>
      </c>
      <c r="J18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85" s="498" t="str">
        <f ca="1">IF(Inventarisatie[[#This Row],[Freq. Ma-Vr]]=0,0,IF(_xlfn.XLOOKUP(Inventarisatie[[#This Row],[Locatie]],Tabel2[Locatiecode],Tabel2[Basisfrequentie],0,0)=Locatieoverzicht!$F$47,VLOOKUP("fe",WkDagen[],YEAR(NOW())-2020,FALSE),""))</f>
        <v/>
      </c>
    </row>
    <row r="186" spans="1:11" x14ac:dyDescent="0.2">
      <c r="A186" s="493" t="s">
        <v>108</v>
      </c>
      <c r="B186" s="492" t="s">
        <v>301</v>
      </c>
      <c r="C186" s="493" t="s">
        <v>67</v>
      </c>
      <c r="D186" s="491" t="s">
        <v>310</v>
      </c>
      <c r="E186" s="493" t="s">
        <v>5</v>
      </c>
      <c r="F186" s="493" t="s">
        <v>6</v>
      </c>
      <c r="G186" s="494">
        <v>22.9</v>
      </c>
      <c r="H186" s="495" cm="1">
        <f t="array" aca="1" ref="H18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86" s="498" t="str">
        <f ca="1">IF(Inventarisatie[[#This Row],[Freq. Ma-Vr]]=0,0,IF(ISNUMBER(SEARCH("/",_xlfn.XLOOKUP(Inventarisatie[[#This Row],[Locatie]],Tabel2[Locatiecode],Tabel2[Basisfrequentie],0,0))),VLOOKUP("za",WkDagen[],YEAR(NOW())-2020,FALSE),""))</f>
        <v/>
      </c>
      <c r="J18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86" s="498" t="str">
        <f ca="1">IF(Inventarisatie[[#This Row],[Freq. Ma-Vr]]=0,0,IF(_xlfn.XLOOKUP(Inventarisatie[[#This Row],[Locatie]],Tabel2[Locatiecode],Tabel2[Basisfrequentie],0,0)=Locatieoverzicht!$F$47,VLOOKUP("fe",WkDagen[],YEAR(NOW())-2020,FALSE),""))</f>
        <v/>
      </c>
    </row>
    <row r="187" spans="1:11" x14ac:dyDescent="0.2">
      <c r="A187" s="491" t="s">
        <v>108</v>
      </c>
      <c r="B187" s="492" t="s">
        <v>301</v>
      </c>
      <c r="C187" s="493" t="s">
        <v>68</v>
      </c>
      <c r="D187" s="491" t="s">
        <v>310</v>
      </c>
      <c r="E187" s="493" t="s">
        <v>5</v>
      </c>
      <c r="F187" s="493" t="s">
        <v>6</v>
      </c>
      <c r="G187" s="494">
        <v>16.100000000000001</v>
      </c>
      <c r="H187" s="495" cm="1">
        <f t="array" aca="1" ref="H18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87" s="498" t="str">
        <f ca="1">IF(Inventarisatie[[#This Row],[Freq. Ma-Vr]]=0,0,IF(ISNUMBER(SEARCH("/",_xlfn.XLOOKUP(Inventarisatie[[#This Row],[Locatie]],Tabel2[Locatiecode],Tabel2[Basisfrequentie],0,0))),VLOOKUP("za",WkDagen[],YEAR(NOW())-2020,FALSE),""))</f>
        <v/>
      </c>
      <c r="J18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87" s="498" t="str">
        <f ca="1">IF(Inventarisatie[[#This Row],[Freq. Ma-Vr]]=0,0,IF(_xlfn.XLOOKUP(Inventarisatie[[#This Row],[Locatie]],Tabel2[Locatiecode],Tabel2[Basisfrequentie],0,0)=Locatieoverzicht!$F$47,VLOOKUP("fe",WkDagen[],YEAR(NOW())-2020,FALSE),""))</f>
        <v/>
      </c>
    </row>
    <row r="188" spans="1:11" x14ac:dyDescent="0.2">
      <c r="A188" s="491" t="s">
        <v>108</v>
      </c>
      <c r="B188" s="492" t="s">
        <v>301</v>
      </c>
      <c r="C188" s="493" t="s">
        <v>72</v>
      </c>
      <c r="D188" s="491" t="s">
        <v>307</v>
      </c>
      <c r="E188" s="493" t="s">
        <v>26</v>
      </c>
      <c r="F188" s="493" t="s">
        <v>6</v>
      </c>
      <c r="G188" s="494">
        <v>21.9</v>
      </c>
      <c r="H188" s="495" cm="1">
        <f t="array" aca="1" ref="H18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88" s="498" t="str">
        <f ca="1">IF(Inventarisatie[[#This Row],[Freq. Ma-Vr]]=0,0,IF(ISNUMBER(SEARCH("/",_xlfn.XLOOKUP(Inventarisatie[[#This Row],[Locatie]],Tabel2[Locatiecode],Tabel2[Basisfrequentie],0,0))),VLOOKUP("za",WkDagen[],YEAR(NOW())-2020,FALSE),""))</f>
        <v/>
      </c>
      <c r="J18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88" s="498" t="str">
        <f ca="1">IF(Inventarisatie[[#This Row],[Freq. Ma-Vr]]=0,0,IF(_xlfn.XLOOKUP(Inventarisatie[[#This Row],[Locatie]],Tabel2[Locatiecode],Tabel2[Basisfrequentie],0,0)=Locatieoverzicht!$F$47,VLOOKUP("fe",WkDagen[],YEAR(NOW())-2020,FALSE),""))</f>
        <v/>
      </c>
    </row>
    <row r="189" spans="1:11" x14ac:dyDescent="0.2">
      <c r="A189" s="491" t="s">
        <v>108</v>
      </c>
      <c r="B189" s="492" t="s">
        <v>301</v>
      </c>
      <c r="C189" s="493" t="s">
        <v>69</v>
      </c>
      <c r="D189" s="491" t="s">
        <v>311</v>
      </c>
      <c r="E189" s="493" t="s">
        <v>16</v>
      </c>
      <c r="F189" s="493" t="s">
        <v>17</v>
      </c>
      <c r="G189" s="494">
        <v>2.1</v>
      </c>
      <c r="H189" s="495" cm="1">
        <f t="array" aca="1" ref="H18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89" s="498" t="str">
        <f ca="1">IF(Inventarisatie[[#This Row],[Freq. Ma-Vr]]=0,0,IF(ISNUMBER(SEARCH("/",_xlfn.XLOOKUP(Inventarisatie[[#This Row],[Locatie]],Tabel2[Locatiecode],Tabel2[Basisfrequentie],0,0))),VLOOKUP("za",WkDagen[],YEAR(NOW())-2020,FALSE),""))</f>
        <v/>
      </c>
      <c r="J18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89" s="498" t="str">
        <f ca="1">IF(Inventarisatie[[#This Row],[Freq. Ma-Vr]]=0,0,IF(_xlfn.XLOOKUP(Inventarisatie[[#This Row],[Locatie]],Tabel2[Locatiecode],Tabel2[Basisfrequentie],0,0)=Locatieoverzicht!$F$47,VLOOKUP("fe",WkDagen[],YEAR(NOW())-2020,FALSE),""))</f>
        <v/>
      </c>
    </row>
    <row r="190" spans="1:11" x14ac:dyDescent="0.2">
      <c r="A190" s="491" t="s">
        <v>108</v>
      </c>
      <c r="B190" s="492" t="s">
        <v>302</v>
      </c>
      <c r="C190" s="493" t="s">
        <v>4</v>
      </c>
      <c r="D190" s="491" t="s">
        <v>310</v>
      </c>
      <c r="E190" s="493" t="s">
        <v>5</v>
      </c>
      <c r="F190" s="493" t="s">
        <v>6</v>
      </c>
      <c r="G190" s="494">
        <v>26</v>
      </c>
      <c r="H190" s="495" cm="1">
        <f t="array" aca="1" ref="H19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90" s="498" t="str">
        <f ca="1">IF(Inventarisatie[[#This Row],[Freq. Ma-Vr]]=0,0,IF(ISNUMBER(SEARCH("/",_xlfn.XLOOKUP(Inventarisatie[[#This Row],[Locatie]],Tabel2[Locatiecode],Tabel2[Basisfrequentie],0,0))),VLOOKUP("za",WkDagen[],YEAR(NOW())-2020,FALSE),""))</f>
        <v/>
      </c>
      <c r="J19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90" s="498" t="str">
        <f ca="1">IF(Inventarisatie[[#This Row],[Freq. Ma-Vr]]=0,0,IF(_xlfn.XLOOKUP(Inventarisatie[[#This Row],[Locatie]],Tabel2[Locatiecode],Tabel2[Basisfrequentie],0,0)=Locatieoverzicht!$F$47,VLOOKUP("fe",WkDagen[],YEAR(NOW())-2020,FALSE),""))</f>
        <v/>
      </c>
    </row>
    <row r="191" spans="1:11" x14ac:dyDescent="0.2">
      <c r="A191" s="493" t="s">
        <v>108</v>
      </c>
      <c r="B191" s="492" t="s">
        <v>302</v>
      </c>
      <c r="C191" s="493" t="s">
        <v>7</v>
      </c>
      <c r="D191" s="491" t="s">
        <v>310</v>
      </c>
      <c r="E191" s="493" t="s">
        <v>5</v>
      </c>
      <c r="F191" s="493" t="s">
        <v>6</v>
      </c>
      <c r="G191" s="494">
        <v>24</v>
      </c>
      <c r="H191" s="495" cm="1">
        <f t="array" aca="1" ref="H19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91" s="498" t="str">
        <f ca="1">IF(Inventarisatie[[#This Row],[Freq. Ma-Vr]]=0,0,IF(ISNUMBER(SEARCH("/",_xlfn.XLOOKUP(Inventarisatie[[#This Row],[Locatie]],Tabel2[Locatiecode],Tabel2[Basisfrequentie],0,0))),VLOOKUP("za",WkDagen[],YEAR(NOW())-2020,FALSE),""))</f>
        <v/>
      </c>
      <c r="J19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91" s="498" t="str">
        <f ca="1">IF(Inventarisatie[[#This Row],[Freq. Ma-Vr]]=0,0,IF(_xlfn.XLOOKUP(Inventarisatie[[#This Row],[Locatie]],Tabel2[Locatiecode],Tabel2[Basisfrequentie],0,0)=Locatieoverzicht!$F$47,VLOOKUP("fe",WkDagen[],YEAR(NOW())-2020,FALSE),""))</f>
        <v/>
      </c>
    </row>
    <row r="192" spans="1:11" x14ac:dyDescent="0.2">
      <c r="A192" s="491" t="s">
        <v>108</v>
      </c>
      <c r="B192" s="492" t="s">
        <v>302</v>
      </c>
      <c r="C192" s="493" t="s">
        <v>8</v>
      </c>
      <c r="D192" s="491" t="s">
        <v>310</v>
      </c>
      <c r="E192" s="493" t="s">
        <v>5</v>
      </c>
      <c r="F192" s="493" t="s">
        <v>6</v>
      </c>
      <c r="G192" s="494">
        <v>20</v>
      </c>
      <c r="H192" s="495" cm="1">
        <f t="array" aca="1" ref="H19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92" s="498" t="str">
        <f ca="1">IF(Inventarisatie[[#This Row],[Freq. Ma-Vr]]=0,0,IF(ISNUMBER(SEARCH("/",_xlfn.XLOOKUP(Inventarisatie[[#This Row],[Locatie]],Tabel2[Locatiecode],Tabel2[Basisfrequentie],0,0))),VLOOKUP("za",WkDagen[],YEAR(NOW())-2020,FALSE),""))</f>
        <v/>
      </c>
      <c r="J19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92" s="498" t="str">
        <f ca="1">IF(Inventarisatie[[#This Row],[Freq. Ma-Vr]]=0,0,IF(_xlfn.XLOOKUP(Inventarisatie[[#This Row],[Locatie]],Tabel2[Locatiecode],Tabel2[Basisfrequentie],0,0)=Locatieoverzicht!$F$47,VLOOKUP("fe",WkDagen[],YEAR(NOW())-2020,FALSE),""))</f>
        <v/>
      </c>
    </row>
    <row r="193" spans="1:11" x14ac:dyDescent="0.2">
      <c r="A193" s="493" t="s">
        <v>108</v>
      </c>
      <c r="B193" s="492" t="s">
        <v>302</v>
      </c>
      <c r="C193" s="493" t="s">
        <v>9</v>
      </c>
      <c r="D193" s="491" t="s">
        <v>310</v>
      </c>
      <c r="E193" s="493" t="s">
        <v>19</v>
      </c>
      <c r="F193" s="493" t="s">
        <v>6</v>
      </c>
      <c r="G193" s="494">
        <v>17</v>
      </c>
      <c r="H193" s="495" cm="1">
        <f t="array" aca="1" ref="H19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93" s="498" t="str">
        <f ca="1">IF(Inventarisatie[[#This Row],[Freq. Ma-Vr]]=0,0,IF(ISNUMBER(SEARCH("/",_xlfn.XLOOKUP(Inventarisatie[[#This Row],[Locatie]],Tabel2[Locatiecode],Tabel2[Basisfrequentie],0,0))),VLOOKUP("za",WkDagen[],YEAR(NOW())-2020,FALSE),""))</f>
        <v/>
      </c>
      <c r="J19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93" s="498" t="str">
        <f ca="1">IF(Inventarisatie[[#This Row],[Freq. Ma-Vr]]=0,0,IF(_xlfn.XLOOKUP(Inventarisatie[[#This Row],[Locatie]],Tabel2[Locatiecode],Tabel2[Basisfrequentie],0,0)=Locatieoverzicht!$F$47,VLOOKUP("fe",WkDagen[],YEAR(NOW())-2020,FALSE),""))</f>
        <v/>
      </c>
    </row>
    <row r="194" spans="1:11" x14ac:dyDescent="0.2">
      <c r="A194" s="491" t="s">
        <v>108</v>
      </c>
      <c r="B194" s="492" t="s">
        <v>302</v>
      </c>
      <c r="C194" s="493" t="s">
        <v>109</v>
      </c>
      <c r="D194" s="491" t="s">
        <v>312</v>
      </c>
      <c r="E194" s="493" t="s">
        <v>110</v>
      </c>
      <c r="F194" s="493" t="s">
        <v>6</v>
      </c>
      <c r="G194" s="494">
        <v>4</v>
      </c>
      <c r="H194" s="495" cm="1">
        <f t="array" aca="1" ref="H19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94" s="498" t="str">
        <f ca="1">IF(Inventarisatie[[#This Row],[Freq. Ma-Vr]]=0,0,IF(ISNUMBER(SEARCH("/",_xlfn.XLOOKUP(Inventarisatie[[#This Row],[Locatie]],Tabel2[Locatiecode],Tabel2[Basisfrequentie],0,0))),VLOOKUP("za",WkDagen[],YEAR(NOW())-2020,FALSE),""))</f>
        <v/>
      </c>
      <c r="J19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94" s="498" t="str">
        <f ca="1">IF(Inventarisatie[[#This Row],[Freq. Ma-Vr]]=0,0,IF(_xlfn.XLOOKUP(Inventarisatie[[#This Row],[Locatie]],Tabel2[Locatiecode],Tabel2[Basisfrequentie],0,0)=Locatieoverzicht!$F$47,VLOOKUP("fe",WkDagen[],YEAR(NOW())-2020,FALSE),""))</f>
        <v/>
      </c>
    </row>
    <row r="195" spans="1:11" x14ac:dyDescent="0.2">
      <c r="A195" s="493" t="s">
        <v>108</v>
      </c>
      <c r="B195" s="492" t="s">
        <v>302</v>
      </c>
      <c r="C195" s="493" t="s">
        <v>111</v>
      </c>
      <c r="D195" s="491" t="s">
        <v>311</v>
      </c>
      <c r="E195" s="493" t="s">
        <v>16</v>
      </c>
      <c r="F195" s="493" t="s">
        <v>17</v>
      </c>
      <c r="G195" s="494">
        <v>5</v>
      </c>
      <c r="H195" s="495" cm="1">
        <f t="array" aca="1" ref="H19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95" s="498" t="str">
        <f ca="1">IF(Inventarisatie[[#This Row],[Freq. Ma-Vr]]=0,0,IF(ISNUMBER(SEARCH("/",_xlfn.XLOOKUP(Inventarisatie[[#This Row],[Locatie]],Tabel2[Locatiecode],Tabel2[Basisfrequentie],0,0))),VLOOKUP("za",WkDagen[],YEAR(NOW())-2020,FALSE),""))</f>
        <v/>
      </c>
      <c r="J19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95" s="498" t="str">
        <f ca="1">IF(Inventarisatie[[#This Row],[Freq. Ma-Vr]]=0,0,IF(_xlfn.XLOOKUP(Inventarisatie[[#This Row],[Locatie]],Tabel2[Locatiecode],Tabel2[Basisfrequentie],0,0)=Locatieoverzicht!$F$47,VLOOKUP("fe",WkDagen[],YEAR(NOW())-2020,FALSE),""))</f>
        <v/>
      </c>
    </row>
    <row r="196" spans="1:11" x14ac:dyDescent="0.2">
      <c r="A196" s="499" t="s">
        <v>113</v>
      </c>
      <c r="B196" s="500" t="s">
        <v>302</v>
      </c>
      <c r="C196" s="501" t="s">
        <v>114</v>
      </c>
      <c r="D196" s="491" t="s">
        <v>312</v>
      </c>
      <c r="E196" s="501" t="s">
        <v>37</v>
      </c>
      <c r="F196" s="501" t="s">
        <v>6</v>
      </c>
      <c r="G196" s="494">
        <v>38.9</v>
      </c>
      <c r="H196" s="495" cm="1">
        <f t="array" aca="1" ref="H19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96" s="498" t="str">
        <f ca="1">IF(Inventarisatie[[#This Row],[Freq. Ma-Vr]]=0,0,IF(ISNUMBER(SEARCH("/",_xlfn.XLOOKUP(Inventarisatie[[#This Row],[Locatie]],Tabel2[Locatiecode],Tabel2[Basisfrequentie],0,0))),VLOOKUP("za",WkDagen[],YEAR(NOW())-2020,FALSE),""))</f>
        <v/>
      </c>
      <c r="J19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96" s="498" t="str">
        <f ca="1">IF(Inventarisatie[[#This Row],[Freq. Ma-Vr]]=0,0,IF(_xlfn.XLOOKUP(Inventarisatie[[#This Row],[Locatie]],Tabel2[Locatiecode],Tabel2[Basisfrequentie],0,0)=Locatieoverzicht!$F$47,VLOOKUP("fe",WkDagen[],YEAR(NOW())-2020,FALSE),""))</f>
        <v/>
      </c>
    </row>
    <row r="197" spans="1:11" x14ac:dyDescent="0.2">
      <c r="A197" s="499" t="s">
        <v>113</v>
      </c>
      <c r="B197" s="500" t="s">
        <v>302</v>
      </c>
      <c r="C197" s="501" t="s">
        <v>115</v>
      </c>
      <c r="D197" s="491" t="s">
        <v>308</v>
      </c>
      <c r="E197" s="501" t="s">
        <v>35</v>
      </c>
      <c r="F197" s="501" t="s">
        <v>6</v>
      </c>
      <c r="G197" s="494">
        <v>14.1</v>
      </c>
      <c r="H197" s="495" cm="1">
        <f t="array" aca="1" ref="H19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97" s="498" t="str">
        <f ca="1">IF(Inventarisatie[[#This Row],[Freq. Ma-Vr]]=0,0,IF(ISNUMBER(SEARCH("/",_xlfn.XLOOKUP(Inventarisatie[[#This Row],[Locatie]],Tabel2[Locatiecode],Tabel2[Basisfrequentie],0,0))),VLOOKUP("za",WkDagen[],YEAR(NOW())-2020,FALSE),""))</f>
        <v/>
      </c>
      <c r="J19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97" s="498" t="str">
        <f ca="1">IF(Inventarisatie[[#This Row],[Freq. Ma-Vr]]=0,0,IF(_xlfn.XLOOKUP(Inventarisatie[[#This Row],[Locatie]],Tabel2[Locatiecode],Tabel2[Basisfrequentie],0,0)=Locatieoverzicht!$F$47,VLOOKUP("fe",WkDagen[],YEAR(NOW())-2020,FALSE),""))</f>
        <v/>
      </c>
    </row>
    <row r="198" spans="1:11" x14ac:dyDescent="0.2">
      <c r="A198" s="499" t="s">
        <v>113</v>
      </c>
      <c r="B198" s="500" t="s">
        <v>302</v>
      </c>
      <c r="C198" s="501" t="s">
        <v>116</v>
      </c>
      <c r="D198" s="491" t="s">
        <v>312</v>
      </c>
      <c r="E198" s="501" t="s">
        <v>21</v>
      </c>
      <c r="F198" s="501" t="s">
        <v>6</v>
      </c>
      <c r="G198" s="494">
        <v>7.3</v>
      </c>
      <c r="H198" s="495" cm="1">
        <f t="array" aca="1" ref="H19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98" s="498" t="str">
        <f ca="1">IF(Inventarisatie[[#This Row],[Freq. Ma-Vr]]=0,0,IF(ISNUMBER(SEARCH("/",_xlfn.XLOOKUP(Inventarisatie[[#This Row],[Locatie]],Tabel2[Locatiecode],Tabel2[Basisfrequentie],0,0))),VLOOKUP("za",WkDagen[],YEAR(NOW())-2020,FALSE),""))</f>
        <v/>
      </c>
      <c r="J19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98" s="498" t="str">
        <f ca="1">IF(Inventarisatie[[#This Row],[Freq. Ma-Vr]]=0,0,IF(_xlfn.XLOOKUP(Inventarisatie[[#This Row],[Locatie]],Tabel2[Locatiecode],Tabel2[Basisfrequentie],0,0)=Locatieoverzicht!$F$47,VLOOKUP("fe",WkDagen[],YEAR(NOW())-2020,FALSE),""))</f>
        <v/>
      </c>
    </row>
    <row r="199" spans="1:11" x14ac:dyDescent="0.2">
      <c r="A199" s="499" t="s">
        <v>113</v>
      </c>
      <c r="B199" s="500" t="s">
        <v>302</v>
      </c>
      <c r="C199" s="501" t="s">
        <v>117</v>
      </c>
      <c r="D199" s="491" t="s">
        <v>312</v>
      </c>
      <c r="E199" s="501" t="s">
        <v>41</v>
      </c>
      <c r="F199" s="501" t="s">
        <v>6</v>
      </c>
      <c r="G199" s="494">
        <v>18.7</v>
      </c>
      <c r="H199" s="495" cm="1">
        <f t="array" aca="1" ref="H19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199" s="498" t="str">
        <f ca="1">IF(Inventarisatie[[#This Row],[Freq. Ma-Vr]]=0,0,IF(ISNUMBER(SEARCH("/",_xlfn.XLOOKUP(Inventarisatie[[#This Row],[Locatie]],Tabel2[Locatiecode],Tabel2[Basisfrequentie],0,0))),VLOOKUP("za",WkDagen[],YEAR(NOW())-2020,FALSE),""))</f>
        <v/>
      </c>
      <c r="J19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199" s="498" t="str">
        <f ca="1">IF(Inventarisatie[[#This Row],[Freq. Ma-Vr]]=0,0,IF(_xlfn.XLOOKUP(Inventarisatie[[#This Row],[Locatie]],Tabel2[Locatiecode],Tabel2[Basisfrequentie],0,0)=Locatieoverzicht!$F$47,VLOOKUP("fe",WkDagen[],YEAR(NOW())-2020,FALSE),""))</f>
        <v/>
      </c>
    </row>
    <row r="200" spans="1:11" x14ac:dyDescent="0.2">
      <c r="A200" s="499" t="s">
        <v>113</v>
      </c>
      <c r="B200" s="500" t="s">
        <v>302</v>
      </c>
      <c r="C200" s="501" t="s">
        <v>118</v>
      </c>
      <c r="D200" s="491" t="s">
        <v>307</v>
      </c>
      <c r="E200" s="501" t="s">
        <v>26</v>
      </c>
      <c r="F200" s="501" t="s">
        <v>6</v>
      </c>
      <c r="G200" s="494">
        <v>30</v>
      </c>
      <c r="H200" s="495" cm="1">
        <f t="array" aca="1" ref="H20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00" s="498" t="str">
        <f ca="1">IF(Inventarisatie[[#This Row],[Freq. Ma-Vr]]=0,0,IF(ISNUMBER(SEARCH("/",_xlfn.XLOOKUP(Inventarisatie[[#This Row],[Locatie]],Tabel2[Locatiecode],Tabel2[Basisfrequentie],0,0))),VLOOKUP("za",WkDagen[],YEAR(NOW())-2020,FALSE),""))</f>
        <v/>
      </c>
      <c r="J20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00" s="498" t="str">
        <f ca="1">IF(Inventarisatie[[#This Row],[Freq. Ma-Vr]]=0,0,IF(_xlfn.XLOOKUP(Inventarisatie[[#This Row],[Locatie]],Tabel2[Locatiecode],Tabel2[Basisfrequentie],0,0)=Locatieoverzicht!$F$47,VLOOKUP("fe",WkDagen[],YEAR(NOW())-2020,FALSE),""))</f>
        <v/>
      </c>
    </row>
    <row r="201" spans="1:11" x14ac:dyDescent="0.2">
      <c r="A201" s="499" t="s">
        <v>113</v>
      </c>
      <c r="B201" s="500" t="s">
        <v>302</v>
      </c>
      <c r="C201" s="501" t="s">
        <v>119</v>
      </c>
      <c r="D201" s="491" t="s">
        <v>307</v>
      </c>
      <c r="E201" s="501" t="s">
        <v>26</v>
      </c>
      <c r="F201" s="501" t="s">
        <v>6</v>
      </c>
      <c r="G201" s="494">
        <v>30</v>
      </c>
      <c r="H201" s="495" cm="1">
        <f t="array" aca="1" ref="H20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01" s="498" t="str">
        <f ca="1">IF(Inventarisatie[[#This Row],[Freq. Ma-Vr]]=0,0,IF(ISNUMBER(SEARCH("/",_xlfn.XLOOKUP(Inventarisatie[[#This Row],[Locatie]],Tabel2[Locatiecode],Tabel2[Basisfrequentie],0,0))),VLOOKUP("za",WkDagen[],YEAR(NOW())-2020,FALSE),""))</f>
        <v/>
      </c>
      <c r="J20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01" s="498" t="str">
        <f ca="1">IF(Inventarisatie[[#This Row],[Freq. Ma-Vr]]=0,0,IF(_xlfn.XLOOKUP(Inventarisatie[[#This Row],[Locatie]],Tabel2[Locatiecode],Tabel2[Basisfrequentie],0,0)=Locatieoverzicht!$F$47,VLOOKUP("fe",WkDagen[],YEAR(NOW())-2020,FALSE),""))</f>
        <v/>
      </c>
    </row>
    <row r="202" spans="1:11" x14ac:dyDescent="0.2">
      <c r="A202" s="499" t="s">
        <v>113</v>
      </c>
      <c r="B202" s="500" t="s">
        <v>302</v>
      </c>
      <c r="C202" s="501" t="s">
        <v>120</v>
      </c>
      <c r="D202" s="491" t="s">
        <v>310</v>
      </c>
      <c r="E202" s="493" t="s">
        <v>5</v>
      </c>
      <c r="F202" s="501" t="s">
        <v>6</v>
      </c>
      <c r="G202" s="494">
        <v>30</v>
      </c>
      <c r="H202" s="495" cm="1">
        <f t="array" aca="1" ref="H20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02" s="498" t="str">
        <f ca="1">IF(Inventarisatie[[#This Row],[Freq. Ma-Vr]]=0,0,IF(ISNUMBER(SEARCH("/",_xlfn.XLOOKUP(Inventarisatie[[#This Row],[Locatie]],Tabel2[Locatiecode],Tabel2[Basisfrequentie],0,0))),VLOOKUP("za",WkDagen[],YEAR(NOW())-2020,FALSE),""))</f>
        <v/>
      </c>
      <c r="J20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02" s="498" t="str">
        <f ca="1">IF(Inventarisatie[[#This Row],[Freq. Ma-Vr]]=0,0,IF(_xlfn.XLOOKUP(Inventarisatie[[#This Row],[Locatie]],Tabel2[Locatiecode],Tabel2[Basisfrequentie],0,0)=Locatieoverzicht!$F$47,VLOOKUP("fe",WkDagen[],YEAR(NOW())-2020,FALSE),""))</f>
        <v/>
      </c>
    </row>
    <row r="203" spans="1:11" x14ac:dyDescent="0.2">
      <c r="A203" s="499" t="s">
        <v>113</v>
      </c>
      <c r="B203" s="500" t="s">
        <v>302</v>
      </c>
      <c r="C203" s="501" t="s">
        <v>121</v>
      </c>
      <c r="D203" s="491" t="s">
        <v>310</v>
      </c>
      <c r="E203" s="493" t="s">
        <v>5</v>
      </c>
      <c r="F203" s="501" t="s">
        <v>6</v>
      </c>
      <c r="G203" s="494">
        <v>30</v>
      </c>
      <c r="H203" s="495" cm="1">
        <f t="array" aca="1" ref="H20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03" s="498" t="str">
        <f ca="1">IF(Inventarisatie[[#This Row],[Freq. Ma-Vr]]=0,0,IF(ISNUMBER(SEARCH("/",_xlfn.XLOOKUP(Inventarisatie[[#This Row],[Locatie]],Tabel2[Locatiecode],Tabel2[Basisfrequentie],0,0))),VLOOKUP("za",WkDagen[],YEAR(NOW())-2020,FALSE),""))</f>
        <v/>
      </c>
      <c r="J20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03" s="498" t="str">
        <f ca="1">IF(Inventarisatie[[#This Row],[Freq. Ma-Vr]]=0,0,IF(_xlfn.XLOOKUP(Inventarisatie[[#This Row],[Locatie]],Tabel2[Locatiecode],Tabel2[Basisfrequentie],0,0)=Locatieoverzicht!$F$47,VLOOKUP("fe",WkDagen[],YEAR(NOW())-2020,FALSE),""))</f>
        <v/>
      </c>
    </row>
    <row r="204" spans="1:11" x14ac:dyDescent="0.2">
      <c r="A204" s="499" t="s">
        <v>113</v>
      </c>
      <c r="B204" s="500" t="s">
        <v>302</v>
      </c>
      <c r="C204" s="501" t="s">
        <v>122</v>
      </c>
      <c r="D204" s="491" t="s">
        <v>24</v>
      </c>
      <c r="E204" s="501" t="s">
        <v>24</v>
      </c>
      <c r="F204" s="501" t="s">
        <v>6</v>
      </c>
      <c r="G204" s="494">
        <v>52.8</v>
      </c>
      <c r="H204" s="495" cm="1">
        <f t="array" aca="1" ref="H20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04" s="498" t="str">
        <f ca="1">IF(Inventarisatie[[#This Row],[Freq. Ma-Vr]]=0,0,IF(ISNUMBER(SEARCH("/",_xlfn.XLOOKUP(Inventarisatie[[#This Row],[Locatie]],Tabel2[Locatiecode],Tabel2[Basisfrequentie],0,0))),VLOOKUP("za",WkDagen[],YEAR(NOW())-2020,FALSE),""))</f>
        <v/>
      </c>
      <c r="J20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04" s="498" t="str">
        <f ca="1">IF(Inventarisatie[[#This Row],[Freq. Ma-Vr]]=0,0,IF(_xlfn.XLOOKUP(Inventarisatie[[#This Row],[Locatie]],Tabel2[Locatiecode],Tabel2[Basisfrequentie],0,0)=Locatieoverzicht!$F$47,VLOOKUP("fe",WkDagen[],YEAR(NOW())-2020,FALSE),""))</f>
        <v/>
      </c>
    </row>
    <row r="205" spans="1:11" x14ac:dyDescent="0.2">
      <c r="A205" s="499" t="s">
        <v>113</v>
      </c>
      <c r="B205" s="500" t="s">
        <v>302</v>
      </c>
      <c r="C205" s="501" t="s">
        <v>123</v>
      </c>
      <c r="D205" s="491" t="s">
        <v>311</v>
      </c>
      <c r="E205" s="501" t="s">
        <v>16</v>
      </c>
      <c r="F205" s="501" t="s">
        <v>17</v>
      </c>
      <c r="G205" s="494">
        <v>3</v>
      </c>
      <c r="H205" s="495" cm="1">
        <f t="array" aca="1" ref="H20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05" s="498" t="str">
        <f ca="1">IF(Inventarisatie[[#This Row],[Freq. Ma-Vr]]=0,0,IF(ISNUMBER(SEARCH("/",_xlfn.XLOOKUP(Inventarisatie[[#This Row],[Locatie]],Tabel2[Locatiecode],Tabel2[Basisfrequentie],0,0))),VLOOKUP("za",WkDagen[],YEAR(NOW())-2020,FALSE),""))</f>
        <v/>
      </c>
      <c r="J20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05" s="498" t="str">
        <f ca="1">IF(Inventarisatie[[#This Row],[Freq. Ma-Vr]]=0,0,IF(_xlfn.XLOOKUP(Inventarisatie[[#This Row],[Locatie]],Tabel2[Locatiecode],Tabel2[Basisfrequentie],0,0)=Locatieoverzicht!$F$47,VLOOKUP("fe",WkDagen[],YEAR(NOW())-2020,FALSE),""))</f>
        <v/>
      </c>
    </row>
    <row r="206" spans="1:11" x14ac:dyDescent="0.2">
      <c r="A206" s="499" t="s">
        <v>113</v>
      </c>
      <c r="B206" s="500" t="s">
        <v>302</v>
      </c>
      <c r="C206" s="501" t="s">
        <v>124</v>
      </c>
      <c r="D206" s="491" t="s">
        <v>310</v>
      </c>
      <c r="E206" s="493" t="s">
        <v>5</v>
      </c>
      <c r="F206" s="501" t="s">
        <v>6</v>
      </c>
      <c r="G206" s="494">
        <v>21.7</v>
      </c>
      <c r="H206" s="495" cm="1">
        <f t="array" aca="1" ref="H20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06" s="498" t="str">
        <f ca="1">IF(Inventarisatie[[#This Row],[Freq. Ma-Vr]]=0,0,IF(ISNUMBER(SEARCH("/",_xlfn.XLOOKUP(Inventarisatie[[#This Row],[Locatie]],Tabel2[Locatiecode],Tabel2[Basisfrequentie],0,0))),VLOOKUP("za",WkDagen[],YEAR(NOW())-2020,FALSE),""))</f>
        <v/>
      </c>
      <c r="J20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06" s="498" t="str">
        <f ca="1">IF(Inventarisatie[[#This Row],[Freq. Ma-Vr]]=0,0,IF(_xlfn.XLOOKUP(Inventarisatie[[#This Row],[Locatie]],Tabel2[Locatiecode],Tabel2[Basisfrequentie],0,0)=Locatieoverzicht!$F$47,VLOOKUP("fe",WkDagen[],YEAR(NOW())-2020,FALSE),""))</f>
        <v/>
      </c>
    </row>
    <row r="207" spans="1:11" x14ac:dyDescent="0.2">
      <c r="A207" s="499" t="s">
        <v>113</v>
      </c>
      <c r="B207" s="500" t="s">
        <v>302</v>
      </c>
      <c r="C207" s="501" t="s">
        <v>125</v>
      </c>
      <c r="D207" s="491" t="s">
        <v>310</v>
      </c>
      <c r="E207" s="493" t="s">
        <v>5</v>
      </c>
      <c r="F207" s="501" t="s">
        <v>6</v>
      </c>
      <c r="G207" s="494">
        <v>23</v>
      </c>
      <c r="H207" s="495" cm="1">
        <f t="array" aca="1" ref="H20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07" s="498" t="str">
        <f ca="1">IF(Inventarisatie[[#This Row],[Freq. Ma-Vr]]=0,0,IF(ISNUMBER(SEARCH("/",_xlfn.XLOOKUP(Inventarisatie[[#This Row],[Locatie]],Tabel2[Locatiecode],Tabel2[Basisfrequentie],0,0))),VLOOKUP("za",WkDagen[],YEAR(NOW())-2020,FALSE),""))</f>
        <v/>
      </c>
      <c r="J20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07" s="498" t="str">
        <f ca="1">IF(Inventarisatie[[#This Row],[Freq. Ma-Vr]]=0,0,IF(_xlfn.XLOOKUP(Inventarisatie[[#This Row],[Locatie]],Tabel2[Locatiecode],Tabel2[Basisfrequentie],0,0)=Locatieoverzicht!$F$47,VLOOKUP("fe",WkDagen[],YEAR(NOW())-2020,FALSE),""))</f>
        <v/>
      </c>
    </row>
    <row r="208" spans="1:11" x14ac:dyDescent="0.2">
      <c r="A208" s="499" t="s">
        <v>113</v>
      </c>
      <c r="B208" s="500" t="s">
        <v>302</v>
      </c>
      <c r="C208" s="501" t="s">
        <v>126</v>
      </c>
      <c r="D208" s="491" t="s">
        <v>311</v>
      </c>
      <c r="E208" s="501" t="s">
        <v>16</v>
      </c>
      <c r="F208" s="501" t="s">
        <v>17</v>
      </c>
      <c r="G208" s="494">
        <v>2</v>
      </c>
      <c r="H208" s="495" cm="1">
        <f t="array" aca="1" ref="H20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08" s="498" t="str">
        <f ca="1">IF(Inventarisatie[[#This Row],[Freq. Ma-Vr]]=0,0,IF(ISNUMBER(SEARCH("/",_xlfn.XLOOKUP(Inventarisatie[[#This Row],[Locatie]],Tabel2[Locatiecode],Tabel2[Basisfrequentie],0,0))),VLOOKUP("za",WkDagen[],YEAR(NOW())-2020,FALSE),""))</f>
        <v/>
      </c>
      <c r="J20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08" s="498" t="str">
        <f ca="1">IF(Inventarisatie[[#This Row],[Freq. Ma-Vr]]=0,0,IF(_xlfn.XLOOKUP(Inventarisatie[[#This Row],[Locatie]],Tabel2[Locatiecode],Tabel2[Basisfrequentie],0,0)=Locatieoverzicht!$F$47,VLOOKUP("fe",WkDagen[],YEAR(NOW())-2020,FALSE),""))</f>
        <v/>
      </c>
    </row>
    <row r="209" spans="1:11" x14ac:dyDescent="0.2">
      <c r="A209" s="499" t="s">
        <v>113</v>
      </c>
      <c r="B209" s="500" t="s">
        <v>302</v>
      </c>
      <c r="C209" s="501" t="s">
        <v>127</v>
      </c>
      <c r="D209" s="491" t="s">
        <v>312</v>
      </c>
      <c r="E209" s="501" t="s">
        <v>21</v>
      </c>
      <c r="F209" s="501" t="s">
        <v>6</v>
      </c>
      <c r="G209" s="494">
        <v>7.3</v>
      </c>
      <c r="H209" s="495" cm="1">
        <f t="array" aca="1" ref="H20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09" s="498" t="str">
        <f ca="1">IF(Inventarisatie[[#This Row],[Freq. Ma-Vr]]=0,0,IF(ISNUMBER(SEARCH("/",_xlfn.XLOOKUP(Inventarisatie[[#This Row],[Locatie]],Tabel2[Locatiecode],Tabel2[Basisfrequentie],0,0))),VLOOKUP("za",WkDagen[],YEAR(NOW())-2020,FALSE),""))</f>
        <v/>
      </c>
      <c r="J20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09" s="498" t="str">
        <f ca="1">IF(Inventarisatie[[#This Row],[Freq. Ma-Vr]]=0,0,IF(_xlfn.XLOOKUP(Inventarisatie[[#This Row],[Locatie]],Tabel2[Locatiecode],Tabel2[Basisfrequentie],0,0)=Locatieoverzicht!$F$47,VLOOKUP("fe",WkDagen[],YEAR(NOW())-2020,FALSE),""))</f>
        <v/>
      </c>
    </row>
    <row r="210" spans="1:11" x14ac:dyDescent="0.2">
      <c r="A210" s="499" t="s">
        <v>113</v>
      </c>
      <c r="B210" s="500" t="s">
        <v>302</v>
      </c>
      <c r="C210" s="501" t="s">
        <v>314</v>
      </c>
      <c r="D210" s="491" t="s">
        <v>312</v>
      </c>
      <c r="E210" s="501" t="s">
        <v>41</v>
      </c>
      <c r="F210" s="501" t="s">
        <v>6</v>
      </c>
      <c r="G210" s="494">
        <v>5</v>
      </c>
      <c r="H210" s="495" cm="1">
        <f t="array" aca="1" ref="H21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10" s="498" t="str">
        <f ca="1">IF(Inventarisatie[[#This Row],[Freq. Ma-Vr]]=0,0,IF(ISNUMBER(SEARCH("/",_xlfn.XLOOKUP(Inventarisatie[[#This Row],[Locatie]],Tabel2[Locatiecode],Tabel2[Basisfrequentie],0,0))),VLOOKUP("za",WkDagen[],YEAR(NOW())-2020,FALSE),""))</f>
        <v/>
      </c>
      <c r="J21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10" s="498" t="str">
        <f ca="1">IF(Inventarisatie[[#This Row],[Freq. Ma-Vr]]=0,0,IF(_xlfn.XLOOKUP(Inventarisatie[[#This Row],[Locatie]],Tabel2[Locatiecode],Tabel2[Basisfrequentie],0,0)=Locatieoverzicht!$F$47,VLOOKUP("fe",WkDagen[],YEAR(NOW())-2020,FALSE),""))</f>
        <v/>
      </c>
    </row>
    <row r="211" spans="1:11" x14ac:dyDescent="0.2">
      <c r="A211" s="499" t="s">
        <v>113</v>
      </c>
      <c r="B211" s="500" t="s">
        <v>302</v>
      </c>
      <c r="C211" s="501" t="s">
        <v>315</v>
      </c>
      <c r="D211" s="491" t="s">
        <v>310</v>
      </c>
      <c r="E211" s="493" t="s">
        <v>5</v>
      </c>
      <c r="F211" s="501" t="s">
        <v>6</v>
      </c>
      <c r="G211" s="494">
        <v>8</v>
      </c>
      <c r="H211" s="495" cm="1">
        <f t="array" aca="1" ref="H21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11" s="498" t="str">
        <f ca="1">IF(Inventarisatie[[#This Row],[Freq. Ma-Vr]]=0,0,IF(ISNUMBER(SEARCH("/",_xlfn.XLOOKUP(Inventarisatie[[#This Row],[Locatie]],Tabel2[Locatiecode],Tabel2[Basisfrequentie],0,0))),VLOOKUP("za",WkDagen[],YEAR(NOW())-2020,FALSE),""))</f>
        <v/>
      </c>
      <c r="J21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11" s="498" t="str">
        <f ca="1">IF(Inventarisatie[[#This Row],[Freq. Ma-Vr]]=0,0,IF(_xlfn.XLOOKUP(Inventarisatie[[#This Row],[Locatie]],Tabel2[Locatiecode],Tabel2[Basisfrequentie],0,0)=Locatieoverzicht!$F$47,VLOOKUP("fe",WkDagen[],YEAR(NOW())-2020,FALSE),""))</f>
        <v/>
      </c>
    </row>
    <row r="212" spans="1:11" x14ac:dyDescent="0.2">
      <c r="A212" s="499" t="s">
        <v>113</v>
      </c>
      <c r="B212" s="500" t="s">
        <v>302</v>
      </c>
      <c r="C212" s="501" t="s">
        <v>316</v>
      </c>
      <c r="D212" s="491" t="s">
        <v>310</v>
      </c>
      <c r="E212" s="493" t="s">
        <v>5</v>
      </c>
      <c r="F212" s="501" t="s">
        <v>6</v>
      </c>
      <c r="G212" s="494">
        <v>8</v>
      </c>
      <c r="H212" s="495" cm="1">
        <f t="array" aca="1" ref="H21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12" s="498" t="str">
        <f ca="1">IF(Inventarisatie[[#This Row],[Freq. Ma-Vr]]=0,0,IF(ISNUMBER(SEARCH("/",_xlfn.XLOOKUP(Inventarisatie[[#This Row],[Locatie]],Tabel2[Locatiecode],Tabel2[Basisfrequentie],0,0))),VLOOKUP("za",WkDagen[],YEAR(NOW())-2020,FALSE),""))</f>
        <v/>
      </c>
      <c r="J21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12" s="498" t="str">
        <f ca="1">IF(Inventarisatie[[#This Row],[Freq. Ma-Vr]]=0,0,IF(_xlfn.XLOOKUP(Inventarisatie[[#This Row],[Locatie]],Tabel2[Locatiecode],Tabel2[Basisfrequentie],0,0)=Locatieoverzicht!$F$47,VLOOKUP("fe",WkDagen[],YEAR(NOW())-2020,FALSE),""))</f>
        <v/>
      </c>
    </row>
    <row r="213" spans="1:11" x14ac:dyDescent="0.2">
      <c r="A213" s="499" t="s">
        <v>113</v>
      </c>
      <c r="B213" s="500" t="s">
        <v>302</v>
      </c>
      <c r="C213" s="501" t="s">
        <v>317</v>
      </c>
      <c r="D213" s="491" t="s">
        <v>308</v>
      </c>
      <c r="E213" s="501" t="s">
        <v>35</v>
      </c>
      <c r="F213" s="501" t="s">
        <v>6</v>
      </c>
      <c r="G213" s="494">
        <v>6</v>
      </c>
      <c r="H213" s="495" cm="1">
        <f t="array" aca="1" ref="H21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13" s="498" t="str">
        <f ca="1">IF(Inventarisatie[[#This Row],[Freq. Ma-Vr]]=0,0,IF(ISNUMBER(SEARCH("/",_xlfn.XLOOKUP(Inventarisatie[[#This Row],[Locatie]],Tabel2[Locatiecode],Tabel2[Basisfrequentie],0,0))),VLOOKUP("za",WkDagen[],YEAR(NOW())-2020,FALSE),""))</f>
        <v/>
      </c>
      <c r="J21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13" s="498" t="str">
        <f ca="1">IF(Inventarisatie[[#This Row],[Freq. Ma-Vr]]=0,0,IF(_xlfn.XLOOKUP(Inventarisatie[[#This Row],[Locatie]],Tabel2[Locatiecode],Tabel2[Basisfrequentie],0,0)=Locatieoverzicht!$F$47,VLOOKUP("fe",WkDagen[],YEAR(NOW())-2020,FALSE),""))</f>
        <v/>
      </c>
    </row>
    <row r="214" spans="1:11" x14ac:dyDescent="0.2">
      <c r="A214" s="499" t="s">
        <v>113</v>
      </c>
      <c r="B214" s="500" t="s">
        <v>302</v>
      </c>
      <c r="C214" s="501" t="s">
        <v>318</v>
      </c>
      <c r="D214" s="491" t="s">
        <v>312</v>
      </c>
      <c r="E214" s="501" t="s">
        <v>21</v>
      </c>
      <c r="F214" s="501" t="s">
        <v>6</v>
      </c>
      <c r="G214" s="494">
        <v>3</v>
      </c>
      <c r="H214" s="495" cm="1">
        <f t="array" aca="1" ref="H21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14" s="498" t="str">
        <f ca="1">IF(Inventarisatie[[#This Row],[Freq. Ma-Vr]]=0,0,IF(ISNUMBER(SEARCH("/",_xlfn.XLOOKUP(Inventarisatie[[#This Row],[Locatie]],Tabel2[Locatiecode],Tabel2[Basisfrequentie],0,0))),VLOOKUP("za",WkDagen[],YEAR(NOW())-2020,FALSE),""))</f>
        <v/>
      </c>
      <c r="J21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14" s="498" t="str">
        <f ca="1">IF(Inventarisatie[[#This Row],[Freq. Ma-Vr]]=0,0,IF(_xlfn.XLOOKUP(Inventarisatie[[#This Row],[Locatie]],Tabel2[Locatiecode],Tabel2[Basisfrequentie],0,0)=Locatieoverzicht!$F$47,VLOOKUP("fe",WkDagen[],YEAR(NOW())-2020,FALSE),""))</f>
        <v/>
      </c>
    </row>
    <row r="215" spans="1:11" x14ac:dyDescent="0.2">
      <c r="A215" s="499" t="s">
        <v>113</v>
      </c>
      <c r="B215" s="500" t="s">
        <v>302</v>
      </c>
      <c r="C215" s="501" t="s">
        <v>319</v>
      </c>
      <c r="D215" s="491" t="s">
        <v>307</v>
      </c>
      <c r="E215" s="501" t="s">
        <v>26</v>
      </c>
      <c r="F215" s="501" t="s">
        <v>6</v>
      </c>
      <c r="G215" s="494">
        <v>34</v>
      </c>
      <c r="H215" s="495" cm="1">
        <f t="array" aca="1" ref="H21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15" s="498" t="str">
        <f ca="1">IF(Inventarisatie[[#This Row],[Freq. Ma-Vr]]=0,0,IF(ISNUMBER(SEARCH("/",_xlfn.XLOOKUP(Inventarisatie[[#This Row],[Locatie]],Tabel2[Locatiecode],Tabel2[Basisfrequentie],0,0))),VLOOKUP("za",WkDagen[],YEAR(NOW())-2020,FALSE),""))</f>
        <v/>
      </c>
      <c r="J21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15" s="498" t="str">
        <f ca="1">IF(Inventarisatie[[#This Row],[Freq. Ma-Vr]]=0,0,IF(_xlfn.XLOOKUP(Inventarisatie[[#This Row],[Locatie]],Tabel2[Locatiecode],Tabel2[Basisfrequentie],0,0)=Locatieoverzicht!$F$47,VLOOKUP("fe",WkDagen[],YEAR(NOW())-2020,FALSE),""))</f>
        <v/>
      </c>
    </row>
    <row r="216" spans="1:11" x14ac:dyDescent="0.2">
      <c r="A216" s="499" t="s">
        <v>113</v>
      </c>
      <c r="B216" s="500" t="s">
        <v>302</v>
      </c>
      <c r="C216" s="501" t="s">
        <v>320</v>
      </c>
      <c r="D216" s="491" t="s">
        <v>307</v>
      </c>
      <c r="E216" s="501" t="s">
        <v>26</v>
      </c>
      <c r="F216" s="501" t="s">
        <v>6</v>
      </c>
      <c r="G216" s="494">
        <v>51</v>
      </c>
      <c r="H216" s="495" cm="1">
        <f t="array" aca="1" ref="H21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16" s="498" t="str">
        <f ca="1">IF(Inventarisatie[[#This Row],[Freq. Ma-Vr]]=0,0,IF(ISNUMBER(SEARCH("/",_xlfn.XLOOKUP(Inventarisatie[[#This Row],[Locatie]],Tabel2[Locatiecode],Tabel2[Basisfrequentie],0,0))),VLOOKUP("za",WkDagen[],YEAR(NOW())-2020,FALSE),""))</f>
        <v/>
      </c>
      <c r="J21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16" s="498" t="str">
        <f ca="1">IF(Inventarisatie[[#This Row],[Freq. Ma-Vr]]=0,0,IF(_xlfn.XLOOKUP(Inventarisatie[[#This Row],[Locatie]],Tabel2[Locatiecode],Tabel2[Basisfrequentie],0,0)=Locatieoverzicht!$F$47,VLOOKUP("fe",WkDagen[],YEAR(NOW())-2020,FALSE),""))</f>
        <v/>
      </c>
    </row>
    <row r="217" spans="1:11" x14ac:dyDescent="0.2">
      <c r="A217" s="499" t="s">
        <v>113</v>
      </c>
      <c r="B217" s="500" t="s">
        <v>302</v>
      </c>
      <c r="C217" s="501" t="s">
        <v>321</v>
      </c>
      <c r="D217" s="491" t="s">
        <v>312</v>
      </c>
      <c r="E217" s="501" t="s">
        <v>41</v>
      </c>
      <c r="F217" s="501" t="s">
        <v>6</v>
      </c>
      <c r="G217" s="494">
        <v>8</v>
      </c>
      <c r="H217" s="495" cm="1">
        <f t="array" aca="1" ref="H21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17" s="498" t="str">
        <f ca="1">IF(Inventarisatie[[#This Row],[Freq. Ma-Vr]]=0,0,IF(ISNUMBER(SEARCH("/",_xlfn.XLOOKUP(Inventarisatie[[#This Row],[Locatie]],Tabel2[Locatiecode],Tabel2[Basisfrequentie],0,0))),VLOOKUP("za",WkDagen[],YEAR(NOW())-2020,FALSE),""))</f>
        <v/>
      </c>
      <c r="J21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17" s="498" t="str">
        <f ca="1">IF(Inventarisatie[[#This Row],[Freq. Ma-Vr]]=0,0,IF(_xlfn.XLOOKUP(Inventarisatie[[#This Row],[Locatie]],Tabel2[Locatiecode],Tabel2[Basisfrequentie],0,0)=Locatieoverzicht!$F$47,VLOOKUP("fe",WkDagen[],YEAR(NOW())-2020,FALSE),""))</f>
        <v/>
      </c>
    </row>
    <row r="218" spans="1:11" x14ac:dyDescent="0.2">
      <c r="A218" s="491" t="s">
        <v>128</v>
      </c>
      <c r="B218" s="492" t="s">
        <v>301</v>
      </c>
      <c r="C218" s="493" t="s">
        <v>4</v>
      </c>
      <c r="D218" s="491" t="s">
        <v>24</v>
      </c>
      <c r="E218" s="493" t="s">
        <v>24</v>
      </c>
      <c r="F218" s="493" t="s">
        <v>6</v>
      </c>
      <c r="G218" s="494">
        <v>53</v>
      </c>
      <c r="H218" s="495" cm="1">
        <f t="array" aca="1" ref="H21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18" s="498" t="str">
        <f ca="1">IF(Inventarisatie[[#This Row],[Freq. Ma-Vr]]=0,0,IF(ISNUMBER(SEARCH("/",_xlfn.XLOOKUP(Inventarisatie[[#This Row],[Locatie]],Tabel2[Locatiecode],Tabel2[Basisfrequentie],0,0))),VLOOKUP("za",WkDagen[],YEAR(NOW())-2020,FALSE),""))</f>
        <v/>
      </c>
      <c r="J21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18" s="498" t="str">
        <f ca="1">IF(Inventarisatie[[#This Row],[Freq. Ma-Vr]]=0,0,IF(_xlfn.XLOOKUP(Inventarisatie[[#This Row],[Locatie]],Tabel2[Locatiecode],Tabel2[Basisfrequentie],0,0)=Locatieoverzicht!$F$47,VLOOKUP("fe",WkDagen[],YEAR(NOW())-2020,FALSE),""))</f>
        <v/>
      </c>
    </row>
    <row r="219" spans="1:11" x14ac:dyDescent="0.2">
      <c r="A219" s="491" t="s">
        <v>128</v>
      </c>
      <c r="B219" s="492" t="s">
        <v>301</v>
      </c>
      <c r="C219" s="493" t="s">
        <v>7</v>
      </c>
      <c r="D219" s="491" t="s">
        <v>312</v>
      </c>
      <c r="E219" s="493" t="s">
        <v>21</v>
      </c>
      <c r="F219" s="493" t="s">
        <v>6</v>
      </c>
      <c r="G219" s="494">
        <v>5</v>
      </c>
      <c r="H219" s="495" cm="1">
        <f t="array" aca="1" ref="H21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19" s="498" t="str">
        <f ca="1">IF(Inventarisatie[[#This Row],[Freq. Ma-Vr]]=0,0,IF(ISNUMBER(SEARCH("/",_xlfn.XLOOKUP(Inventarisatie[[#This Row],[Locatie]],Tabel2[Locatiecode],Tabel2[Basisfrequentie],0,0))),VLOOKUP("za",WkDagen[],YEAR(NOW())-2020,FALSE),""))</f>
        <v/>
      </c>
      <c r="J21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19" s="498" t="str">
        <f ca="1">IF(Inventarisatie[[#This Row],[Freq. Ma-Vr]]=0,0,IF(_xlfn.XLOOKUP(Inventarisatie[[#This Row],[Locatie]],Tabel2[Locatiecode],Tabel2[Basisfrequentie],0,0)=Locatieoverzicht!$F$47,VLOOKUP("fe",WkDagen[],YEAR(NOW())-2020,FALSE),""))</f>
        <v/>
      </c>
    </row>
    <row r="220" spans="1:11" x14ac:dyDescent="0.2">
      <c r="A220" s="491" t="s">
        <v>128</v>
      </c>
      <c r="B220" s="492" t="s">
        <v>301</v>
      </c>
      <c r="C220" s="493" t="s">
        <v>8</v>
      </c>
      <c r="D220" s="491" t="s">
        <v>310</v>
      </c>
      <c r="E220" s="493" t="s">
        <v>5</v>
      </c>
      <c r="F220" s="493" t="s">
        <v>6</v>
      </c>
      <c r="G220" s="494">
        <v>17</v>
      </c>
      <c r="H220" s="495" cm="1">
        <f t="array" aca="1" ref="H22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20" s="498" t="str">
        <f ca="1">IF(Inventarisatie[[#This Row],[Freq. Ma-Vr]]=0,0,IF(ISNUMBER(SEARCH("/",_xlfn.XLOOKUP(Inventarisatie[[#This Row],[Locatie]],Tabel2[Locatiecode],Tabel2[Basisfrequentie],0,0))),VLOOKUP("za",WkDagen[],YEAR(NOW())-2020,FALSE),""))</f>
        <v/>
      </c>
      <c r="J22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20" s="498" t="str">
        <f ca="1">IF(Inventarisatie[[#This Row],[Freq. Ma-Vr]]=0,0,IF(_xlfn.XLOOKUP(Inventarisatie[[#This Row],[Locatie]],Tabel2[Locatiecode],Tabel2[Basisfrequentie],0,0)=Locatieoverzicht!$F$47,VLOOKUP("fe",WkDagen[],YEAR(NOW())-2020,FALSE),""))</f>
        <v/>
      </c>
    </row>
    <row r="221" spans="1:11" x14ac:dyDescent="0.2">
      <c r="A221" s="491" t="s">
        <v>128</v>
      </c>
      <c r="B221" s="492" t="s">
        <v>301</v>
      </c>
      <c r="C221" s="493" t="s">
        <v>9</v>
      </c>
      <c r="D221" s="491" t="s">
        <v>310</v>
      </c>
      <c r="E221" s="493" t="s">
        <v>5</v>
      </c>
      <c r="F221" s="493" t="s">
        <v>6</v>
      </c>
      <c r="G221" s="494">
        <v>17</v>
      </c>
      <c r="H221" s="495" cm="1">
        <f t="array" aca="1" ref="H22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21" s="498" t="str">
        <f ca="1">IF(Inventarisatie[[#This Row],[Freq. Ma-Vr]]=0,0,IF(ISNUMBER(SEARCH("/",_xlfn.XLOOKUP(Inventarisatie[[#This Row],[Locatie]],Tabel2[Locatiecode],Tabel2[Basisfrequentie],0,0))),VLOOKUP("za",WkDagen[],YEAR(NOW())-2020,FALSE),""))</f>
        <v/>
      </c>
      <c r="J22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21" s="498" t="str">
        <f ca="1">IF(Inventarisatie[[#This Row],[Freq. Ma-Vr]]=0,0,IF(_xlfn.XLOOKUP(Inventarisatie[[#This Row],[Locatie]],Tabel2[Locatiecode],Tabel2[Basisfrequentie],0,0)=Locatieoverzicht!$F$47,VLOOKUP("fe",WkDagen[],YEAR(NOW())-2020,FALSE),""))</f>
        <v/>
      </c>
    </row>
    <row r="222" spans="1:11" x14ac:dyDescent="0.2">
      <c r="A222" s="491" t="s">
        <v>128</v>
      </c>
      <c r="B222" s="492" t="s">
        <v>301</v>
      </c>
      <c r="C222" s="493" t="s">
        <v>10</v>
      </c>
      <c r="D222" s="491" t="s">
        <v>310</v>
      </c>
      <c r="E222" s="493" t="s">
        <v>5</v>
      </c>
      <c r="F222" s="493" t="s">
        <v>6</v>
      </c>
      <c r="G222" s="494">
        <v>12</v>
      </c>
      <c r="H222" s="495" cm="1">
        <f t="array" aca="1" ref="H22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22" s="498" t="str">
        <f ca="1">IF(Inventarisatie[[#This Row],[Freq. Ma-Vr]]=0,0,IF(ISNUMBER(SEARCH("/",_xlfn.XLOOKUP(Inventarisatie[[#This Row],[Locatie]],Tabel2[Locatiecode],Tabel2[Basisfrequentie],0,0))),VLOOKUP("za",WkDagen[],YEAR(NOW())-2020,FALSE),""))</f>
        <v/>
      </c>
      <c r="J22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22" s="498" t="str">
        <f ca="1">IF(Inventarisatie[[#This Row],[Freq. Ma-Vr]]=0,0,IF(_xlfn.XLOOKUP(Inventarisatie[[#This Row],[Locatie]],Tabel2[Locatiecode],Tabel2[Basisfrequentie],0,0)=Locatieoverzicht!$F$47,VLOOKUP("fe",WkDagen[],YEAR(NOW())-2020,FALSE),""))</f>
        <v/>
      </c>
    </row>
    <row r="223" spans="1:11" x14ac:dyDescent="0.2">
      <c r="A223" s="491" t="s">
        <v>128</v>
      </c>
      <c r="B223" s="492" t="s">
        <v>301</v>
      </c>
      <c r="C223" s="493" t="s">
        <v>11</v>
      </c>
      <c r="D223" s="491" t="s">
        <v>307</v>
      </c>
      <c r="E223" s="493" t="s">
        <v>26</v>
      </c>
      <c r="F223" s="493" t="s">
        <v>6</v>
      </c>
      <c r="G223" s="494">
        <v>35</v>
      </c>
      <c r="H223" s="495" cm="1">
        <f t="array" aca="1" ref="H22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23" s="498" t="str">
        <f ca="1">IF(Inventarisatie[[#This Row],[Freq. Ma-Vr]]=0,0,IF(ISNUMBER(SEARCH("/",_xlfn.XLOOKUP(Inventarisatie[[#This Row],[Locatie]],Tabel2[Locatiecode],Tabel2[Basisfrequentie],0,0))),VLOOKUP("za",WkDagen[],YEAR(NOW())-2020,FALSE),""))</f>
        <v/>
      </c>
      <c r="J22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23" s="498" t="str">
        <f ca="1">IF(Inventarisatie[[#This Row],[Freq. Ma-Vr]]=0,0,IF(_xlfn.XLOOKUP(Inventarisatie[[#This Row],[Locatie]],Tabel2[Locatiecode],Tabel2[Basisfrequentie],0,0)=Locatieoverzicht!$F$47,VLOOKUP("fe",WkDagen[],YEAR(NOW())-2020,FALSE),""))</f>
        <v/>
      </c>
    </row>
    <row r="224" spans="1:11" x14ac:dyDescent="0.2">
      <c r="A224" s="491" t="s">
        <v>128</v>
      </c>
      <c r="B224" s="492" t="s">
        <v>301</v>
      </c>
      <c r="C224" s="493" t="s">
        <v>13</v>
      </c>
      <c r="D224" s="491" t="s">
        <v>312</v>
      </c>
      <c r="E224" s="493" t="s">
        <v>29</v>
      </c>
      <c r="F224" s="493" t="s">
        <v>6</v>
      </c>
      <c r="G224" s="494">
        <v>3.5</v>
      </c>
      <c r="H224" s="495" cm="1">
        <f t="array" aca="1" ref="H22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24" s="498" t="str">
        <f ca="1">IF(Inventarisatie[[#This Row],[Freq. Ma-Vr]]=0,0,IF(ISNUMBER(SEARCH("/",_xlfn.XLOOKUP(Inventarisatie[[#This Row],[Locatie]],Tabel2[Locatiecode],Tabel2[Basisfrequentie],0,0))),VLOOKUP("za",WkDagen[],YEAR(NOW())-2020,FALSE),""))</f>
        <v/>
      </c>
      <c r="J22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24" s="498" t="str">
        <f ca="1">IF(Inventarisatie[[#This Row],[Freq. Ma-Vr]]=0,0,IF(_xlfn.XLOOKUP(Inventarisatie[[#This Row],[Locatie]],Tabel2[Locatiecode],Tabel2[Basisfrequentie],0,0)=Locatieoverzicht!$F$47,VLOOKUP("fe",WkDagen[],YEAR(NOW())-2020,FALSE),""))</f>
        <v/>
      </c>
    </row>
    <row r="225" spans="1:11" x14ac:dyDescent="0.2">
      <c r="A225" s="491" t="s">
        <v>128</v>
      </c>
      <c r="B225" s="492" t="s">
        <v>301</v>
      </c>
      <c r="C225" s="493" t="s">
        <v>15</v>
      </c>
      <c r="D225" s="491" t="s">
        <v>311</v>
      </c>
      <c r="E225" s="493" t="s">
        <v>16</v>
      </c>
      <c r="F225" s="493" t="s">
        <v>17</v>
      </c>
      <c r="G225" s="494">
        <v>1.5</v>
      </c>
      <c r="H225" s="495" cm="1">
        <f t="array" aca="1" ref="H22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25" s="498" t="str">
        <f ca="1">IF(Inventarisatie[[#This Row],[Freq. Ma-Vr]]=0,0,IF(ISNUMBER(SEARCH("/",_xlfn.XLOOKUP(Inventarisatie[[#This Row],[Locatie]],Tabel2[Locatiecode],Tabel2[Basisfrequentie],0,0))),VLOOKUP("za",WkDagen[],YEAR(NOW())-2020,FALSE),""))</f>
        <v/>
      </c>
      <c r="J22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25" s="498" t="str">
        <f ca="1">IF(Inventarisatie[[#This Row],[Freq. Ma-Vr]]=0,0,IF(_xlfn.XLOOKUP(Inventarisatie[[#This Row],[Locatie]],Tabel2[Locatiecode],Tabel2[Basisfrequentie],0,0)=Locatieoverzicht!$F$47,VLOOKUP("fe",WkDagen[],YEAR(NOW())-2020,FALSE),""))</f>
        <v/>
      </c>
    </row>
    <row r="226" spans="1:11" x14ac:dyDescent="0.2">
      <c r="A226" s="491" t="s">
        <v>129</v>
      </c>
      <c r="B226" s="492" t="s">
        <v>301</v>
      </c>
      <c r="C226" s="493" t="s">
        <v>89</v>
      </c>
      <c r="D226" s="491" t="s">
        <v>310</v>
      </c>
      <c r="E226" s="493" t="s">
        <v>19</v>
      </c>
      <c r="F226" s="493" t="s">
        <v>6</v>
      </c>
      <c r="G226" s="494">
        <v>21.3</v>
      </c>
      <c r="H226" s="495" cm="1">
        <f t="array" aca="1" ref="H22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26" s="498" t="str">
        <f ca="1">IF(Inventarisatie[[#This Row],[Freq. Ma-Vr]]=0,0,IF(ISNUMBER(SEARCH("/",_xlfn.XLOOKUP(Inventarisatie[[#This Row],[Locatie]],Tabel2[Locatiecode],Tabel2[Basisfrequentie],0,0))),VLOOKUP("za",WkDagen[],YEAR(NOW())-2020,FALSE),""))</f>
        <v/>
      </c>
      <c r="J22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26" s="498" t="str">
        <f ca="1">IF(Inventarisatie[[#This Row],[Freq. Ma-Vr]]=0,0,IF(_xlfn.XLOOKUP(Inventarisatie[[#This Row],[Locatie]],Tabel2[Locatiecode],Tabel2[Basisfrequentie],0,0)=Locatieoverzicht!$F$47,VLOOKUP("fe",WkDagen[],YEAR(NOW())-2020,FALSE),""))</f>
        <v/>
      </c>
    </row>
    <row r="227" spans="1:11" x14ac:dyDescent="0.2">
      <c r="A227" s="493" t="s">
        <v>129</v>
      </c>
      <c r="B227" s="492" t="s">
        <v>301</v>
      </c>
      <c r="C227" s="493" t="s">
        <v>87</v>
      </c>
      <c r="D227" s="491" t="s">
        <v>310</v>
      </c>
      <c r="E227" s="493" t="s">
        <v>5</v>
      </c>
      <c r="F227" s="497" t="s">
        <v>6</v>
      </c>
      <c r="G227" s="494">
        <v>14.9</v>
      </c>
      <c r="H227" s="495" cm="1">
        <f t="array" aca="1" ref="H22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27" s="498" t="str">
        <f ca="1">IF(Inventarisatie[[#This Row],[Freq. Ma-Vr]]=0,0,IF(ISNUMBER(SEARCH("/",_xlfn.XLOOKUP(Inventarisatie[[#This Row],[Locatie]],Tabel2[Locatiecode],Tabel2[Basisfrequentie],0,0))),VLOOKUP("za",WkDagen[],YEAR(NOW())-2020,FALSE),""))</f>
        <v/>
      </c>
      <c r="J22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27" s="498" t="str">
        <f ca="1">IF(Inventarisatie[[#This Row],[Freq. Ma-Vr]]=0,0,IF(_xlfn.XLOOKUP(Inventarisatie[[#This Row],[Locatie]],Tabel2[Locatiecode],Tabel2[Basisfrequentie],0,0)=Locatieoverzicht!$F$47,VLOOKUP("fe",WkDagen[],YEAR(NOW())-2020,FALSE),""))</f>
        <v/>
      </c>
    </row>
    <row r="228" spans="1:11" x14ac:dyDescent="0.2">
      <c r="A228" s="491" t="s">
        <v>129</v>
      </c>
      <c r="B228" s="492" t="s">
        <v>301</v>
      </c>
      <c r="C228" s="493" t="s">
        <v>86</v>
      </c>
      <c r="D228" s="491" t="s">
        <v>307</v>
      </c>
      <c r="E228" s="493" t="s">
        <v>26</v>
      </c>
      <c r="F228" s="493" t="s">
        <v>6</v>
      </c>
      <c r="G228" s="494">
        <v>17</v>
      </c>
      <c r="H228" s="495" cm="1">
        <f t="array" aca="1" ref="H22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28" s="498" t="str">
        <f ca="1">IF(Inventarisatie[[#This Row],[Freq. Ma-Vr]]=0,0,IF(ISNUMBER(SEARCH("/",_xlfn.XLOOKUP(Inventarisatie[[#This Row],[Locatie]],Tabel2[Locatiecode],Tabel2[Basisfrequentie],0,0))),VLOOKUP("za",WkDagen[],YEAR(NOW())-2020,FALSE),""))</f>
        <v/>
      </c>
      <c r="J22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28" s="498" t="str">
        <f ca="1">IF(Inventarisatie[[#This Row],[Freq. Ma-Vr]]=0,0,IF(_xlfn.XLOOKUP(Inventarisatie[[#This Row],[Locatie]],Tabel2[Locatiecode],Tabel2[Basisfrequentie],0,0)=Locatieoverzicht!$F$47,VLOOKUP("fe",WkDagen[],YEAR(NOW())-2020,FALSE),""))</f>
        <v/>
      </c>
    </row>
    <row r="229" spans="1:11" x14ac:dyDescent="0.2">
      <c r="A229" s="491" t="s">
        <v>129</v>
      </c>
      <c r="B229" s="492" t="s">
        <v>303</v>
      </c>
      <c r="C229" s="493" t="s">
        <v>130</v>
      </c>
      <c r="D229" s="491" t="s">
        <v>24</v>
      </c>
      <c r="E229" s="493" t="s">
        <v>24</v>
      </c>
      <c r="F229" s="493" t="s">
        <v>6</v>
      </c>
      <c r="G229" s="494">
        <v>71.5</v>
      </c>
      <c r="H229" s="495" cm="1">
        <f t="array" aca="1" ref="H22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29" s="498" t="str">
        <f ca="1">IF(Inventarisatie[[#This Row],[Freq. Ma-Vr]]=0,0,IF(ISNUMBER(SEARCH("/",_xlfn.XLOOKUP(Inventarisatie[[#This Row],[Locatie]],Tabel2[Locatiecode],Tabel2[Basisfrequentie],0,0))),VLOOKUP("za",WkDagen[],YEAR(NOW())-2020,FALSE),""))</f>
        <v/>
      </c>
      <c r="J22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29" s="498" t="str">
        <f ca="1">IF(Inventarisatie[[#This Row],[Freq. Ma-Vr]]=0,0,IF(_xlfn.XLOOKUP(Inventarisatie[[#This Row],[Locatie]],Tabel2[Locatiecode],Tabel2[Basisfrequentie],0,0)=Locatieoverzicht!$F$47,VLOOKUP("fe",WkDagen[],YEAR(NOW())-2020,FALSE),""))</f>
        <v/>
      </c>
    </row>
    <row r="230" spans="1:11" x14ac:dyDescent="0.2">
      <c r="A230" s="493" t="s">
        <v>129</v>
      </c>
      <c r="B230" s="492" t="s">
        <v>303</v>
      </c>
      <c r="C230" s="493" t="s">
        <v>54</v>
      </c>
      <c r="D230" s="491" t="s">
        <v>310</v>
      </c>
      <c r="E230" s="493" t="s">
        <v>5</v>
      </c>
      <c r="F230" s="497" t="s">
        <v>6</v>
      </c>
      <c r="G230" s="494">
        <v>21.9</v>
      </c>
      <c r="H230" s="495" cm="1">
        <f t="array" aca="1" ref="H23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30" s="498" t="str">
        <f ca="1">IF(Inventarisatie[[#This Row],[Freq. Ma-Vr]]=0,0,IF(ISNUMBER(SEARCH("/",_xlfn.XLOOKUP(Inventarisatie[[#This Row],[Locatie]],Tabel2[Locatiecode],Tabel2[Basisfrequentie],0,0))),VLOOKUP("za",WkDagen[],YEAR(NOW())-2020,FALSE),""))</f>
        <v/>
      </c>
      <c r="J23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30" s="498" t="str">
        <f ca="1">IF(Inventarisatie[[#This Row],[Freq. Ma-Vr]]=0,0,IF(_xlfn.XLOOKUP(Inventarisatie[[#This Row],[Locatie]],Tabel2[Locatiecode],Tabel2[Basisfrequentie],0,0)=Locatieoverzicht!$F$47,VLOOKUP("fe",WkDagen[],YEAR(NOW())-2020,FALSE),""))</f>
        <v/>
      </c>
    </row>
    <row r="231" spans="1:11" x14ac:dyDescent="0.2">
      <c r="A231" s="491" t="s">
        <v>129</v>
      </c>
      <c r="B231" s="492" t="s">
        <v>303</v>
      </c>
      <c r="C231" s="493" t="s">
        <v>131</v>
      </c>
      <c r="D231" s="491" t="s">
        <v>310</v>
      </c>
      <c r="E231" s="493" t="s">
        <v>5</v>
      </c>
      <c r="F231" s="493" t="s">
        <v>6</v>
      </c>
      <c r="G231" s="494">
        <v>20.8</v>
      </c>
      <c r="H231" s="495" cm="1">
        <f t="array" aca="1" ref="H23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31" s="498" t="str">
        <f ca="1">IF(Inventarisatie[[#This Row],[Freq. Ma-Vr]]=0,0,IF(ISNUMBER(SEARCH("/",_xlfn.XLOOKUP(Inventarisatie[[#This Row],[Locatie]],Tabel2[Locatiecode],Tabel2[Basisfrequentie],0,0))),VLOOKUP("za",WkDagen[],YEAR(NOW())-2020,FALSE),""))</f>
        <v/>
      </c>
      <c r="J23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31" s="498" t="str">
        <f ca="1">IF(Inventarisatie[[#This Row],[Freq. Ma-Vr]]=0,0,IF(_xlfn.XLOOKUP(Inventarisatie[[#This Row],[Locatie]],Tabel2[Locatiecode],Tabel2[Basisfrequentie],0,0)=Locatieoverzicht!$F$47,VLOOKUP("fe",WkDagen[],YEAR(NOW())-2020,FALSE),""))</f>
        <v/>
      </c>
    </row>
    <row r="232" spans="1:11" x14ac:dyDescent="0.2">
      <c r="A232" s="493" t="s">
        <v>129</v>
      </c>
      <c r="B232" s="492" t="s">
        <v>303</v>
      </c>
      <c r="C232" s="493" t="s">
        <v>132</v>
      </c>
      <c r="D232" s="491" t="s">
        <v>311</v>
      </c>
      <c r="E232" s="493" t="s">
        <v>16</v>
      </c>
      <c r="F232" s="497" t="s">
        <v>17</v>
      </c>
      <c r="G232" s="494">
        <v>5.5</v>
      </c>
      <c r="H232" s="495" cm="1">
        <f t="array" aca="1" ref="H23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32" s="498" t="str">
        <f ca="1">IF(Inventarisatie[[#This Row],[Freq. Ma-Vr]]=0,0,IF(ISNUMBER(SEARCH("/",_xlfn.XLOOKUP(Inventarisatie[[#This Row],[Locatie]],Tabel2[Locatiecode],Tabel2[Basisfrequentie],0,0))),VLOOKUP("za",WkDagen[],YEAR(NOW())-2020,FALSE),""))</f>
        <v/>
      </c>
      <c r="J23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32" s="498" t="str">
        <f ca="1">IF(Inventarisatie[[#This Row],[Freq. Ma-Vr]]=0,0,IF(_xlfn.XLOOKUP(Inventarisatie[[#This Row],[Locatie]],Tabel2[Locatiecode],Tabel2[Basisfrequentie],0,0)=Locatieoverzicht!$F$47,VLOOKUP("fe",WkDagen[],YEAR(NOW())-2020,FALSE),""))</f>
        <v/>
      </c>
    </row>
    <row r="233" spans="1:11" x14ac:dyDescent="0.2">
      <c r="A233" s="491" t="s">
        <v>129</v>
      </c>
      <c r="B233" s="492" t="s">
        <v>303</v>
      </c>
      <c r="C233" s="493" t="s">
        <v>133</v>
      </c>
      <c r="D233" s="491" t="s">
        <v>312</v>
      </c>
      <c r="E233" s="493" t="s">
        <v>14</v>
      </c>
      <c r="F233" s="493" t="s">
        <v>6</v>
      </c>
      <c r="G233" s="494">
        <v>2</v>
      </c>
      <c r="H233" s="495" cm="1">
        <f t="array" aca="1" ref="H23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33" s="498" t="str">
        <f ca="1">IF(Inventarisatie[[#This Row],[Freq. Ma-Vr]]=0,0,IF(ISNUMBER(SEARCH("/",_xlfn.XLOOKUP(Inventarisatie[[#This Row],[Locatie]],Tabel2[Locatiecode],Tabel2[Basisfrequentie],0,0))),VLOOKUP("za",WkDagen[],YEAR(NOW())-2020,FALSE),""))</f>
        <v/>
      </c>
      <c r="J23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33" s="498" t="str">
        <f ca="1">IF(Inventarisatie[[#This Row],[Freq. Ma-Vr]]=0,0,IF(_xlfn.XLOOKUP(Inventarisatie[[#This Row],[Locatie]],Tabel2[Locatiecode],Tabel2[Basisfrequentie],0,0)=Locatieoverzicht!$F$47,VLOOKUP("fe",WkDagen[],YEAR(NOW())-2020,FALSE),""))</f>
        <v/>
      </c>
    </row>
    <row r="234" spans="1:11" x14ac:dyDescent="0.2">
      <c r="A234" s="491" t="s">
        <v>134</v>
      </c>
      <c r="B234" s="492" t="s">
        <v>302</v>
      </c>
      <c r="C234" s="493" t="s">
        <v>8</v>
      </c>
      <c r="D234" s="491" t="s">
        <v>312</v>
      </c>
      <c r="E234" s="493" t="s">
        <v>37</v>
      </c>
      <c r="F234" s="497" t="s">
        <v>6</v>
      </c>
      <c r="G234" s="494">
        <v>7.4</v>
      </c>
      <c r="H234" s="495" cm="1">
        <f t="array" aca="1" ref="H23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34" s="498" t="str">
        <f ca="1">IF(Inventarisatie[[#This Row],[Freq. Ma-Vr]]=0,0,IF(ISNUMBER(SEARCH("/",_xlfn.XLOOKUP(Inventarisatie[[#This Row],[Locatie]],Tabel2[Locatiecode],Tabel2[Basisfrequentie],0,0))),VLOOKUP("za",WkDagen[],YEAR(NOW())-2020,FALSE),""))</f>
        <v/>
      </c>
      <c r="J23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34" s="498" t="str">
        <f ca="1">IF(Inventarisatie[[#This Row],[Freq. Ma-Vr]]=0,0,IF(_xlfn.XLOOKUP(Inventarisatie[[#This Row],[Locatie]],Tabel2[Locatiecode],Tabel2[Basisfrequentie],0,0)=Locatieoverzicht!$F$47,VLOOKUP("fe",WkDagen[],YEAR(NOW())-2020,FALSE),""))</f>
        <v/>
      </c>
    </row>
    <row r="235" spans="1:11" x14ac:dyDescent="0.2">
      <c r="A235" s="491" t="s">
        <v>134</v>
      </c>
      <c r="B235" s="492" t="s">
        <v>302</v>
      </c>
      <c r="C235" s="493" t="s">
        <v>9</v>
      </c>
      <c r="D235" s="491" t="s">
        <v>310</v>
      </c>
      <c r="E235" s="493" t="s">
        <v>5</v>
      </c>
      <c r="F235" s="497" t="s">
        <v>6</v>
      </c>
      <c r="G235" s="494">
        <v>17.399999999999999</v>
      </c>
      <c r="H235" s="495" cm="1">
        <f t="array" aca="1" ref="H23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35" s="498" t="str">
        <f ca="1">IF(Inventarisatie[[#This Row],[Freq. Ma-Vr]]=0,0,IF(ISNUMBER(SEARCH("/",_xlfn.XLOOKUP(Inventarisatie[[#This Row],[Locatie]],Tabel2[Locatiecode],Tabel2[Basisfrequentie],0,0))),VLOOKUP("za",WkDagen[],YEAR(NOW())-2020,FALSE),""))</f>
        <v/>
      </c>
      <c r="J23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35" s="498" t="str">
        <f ca="1">IF(Inventarisatie[[#This Row],[Freq. Ma-Vr]]=0,0,IF(_xlfn.XLOOKUP(Inventarisatie[[#This Row],[Locatie]],Tabel2[Locatiecode],Tabel2[Basisfrequentie],0,0)=Locatieoverzicht!$F$47,VLOOKUP("fe",WkDagen[],YEAR(NOW())-2020,FALSE),""))</f>
        <v/>
      </c>
    </row>
    <row r="236" spans="1:11" x14ac:dyDescent="0.2">
      <c r="A236" s="491" t="s">
        <v>134</v>
      </c>
      <c r="B236" s="492" t="s">
        <v>302</v>
      </c>
      <c r="C236" s="493" t="s">
        <v>10</v>
      </c>
      <c r="D236" s="491" t="s">
        <v>310</v>
      </c>
      <c r="E236" s="493" t="s">
        <v>5</v>
      </c>
      <c r="F236" s="497" t="s">
        <v>6</v>
      </c>
      <c r="G236" s="494">
        <v>17.8</v>
      </c>
      <c r="H236" s="495" cm="1">
        <f t="array" aca="1" ref="H23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36" s="498" t="str">
        <f ca="1">IF(Inventarisatie[[#This Row],[Freq. Ma-Vr]]=0,0,IF(ISNUMBER(SEARCH("/",_xlfn.XLOOKUP(Inventarisatie[[#This Row],[Locatie]],Tabel2[Locatiecode],Tabel2[Basisfrequentie],0,0))),VLOOKUP("za",WkDagen[],YEAR(NOW())-2020,FALSE),""))</f>
        <v/>
      </c>
      <c r="J23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36" s="498" t="str">
        <f ca="1">IF(Inventarisatie[[#This Row],[Freq. Ma-Vr]]=0,0,IF(_xlfn.XLOOKUP(Inventarisatie[[#This Row],[Locatie]],Tabel2[Locatiecode],Tabel2[Basisfrequentie],0,0)=Locatieoverzicht!$F$47,VLOOKUP("fe",WkDagen[],YEAR(NOW())-2020,FALSE),""))</f>
        <v/>
      </c>
    </row>
    <row r="237" spans="1:11" x14ac:dyDescent="0.2">
      <c r="A237" s="491" t="s">
        <v>134</v>
      </c>
      <c r="B237" s="492" t="s">
        <v>302</v>
      </c>
      <c r="C237" s="493" t="s">
        <v>11</v>
      </c>
      <c r="D237" s="491" t="s">
        <v>312</v>
      </c>
      <c r="E237" s="493" t="s">
        <v>21</v>
      </c>
      <c r="F237" s="497" t="s">
        <v>6</v>
      </c>
      <c r="G237" s="494">
        <v>5.7</v>
      </c>
      <c r="H237" s="495" cm="1">
        <f t="array" aca="1" ref="H23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37" s="498" t="str">
        <f ca="1">IF(Inventarisatie[[#This Row],[Freq. Ma-Vr]]=0,0,IF(ISNUMBER(SEARCH("/",_xlfn.XLOOKUP(Inventarisatie[[#This Row],[Locatie]],Tabel2[Locatiecode],Tabel2[Basisfrequentie],0,0))),VLOOKUP("za",WkDagen[],YEAR(NOW())-2020,FALSE),""))</f>
        <v/>
      </c>
      <c r="J23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37" s="498" t="str">
        <f ca="1">IF(Inventarisatie[[#This Row],[Freq. Ma-Vr]]=0,0,IF(_xlfn.XLOOKUP(Inventarisatie[[#This Row],[Locatie]],Tabel2[Locatiecode],Tabel2[Basisfrequentie],0,0)=Locatieoverzicht!$F$47,VLOOKUP("fe",WkDagen[],YEAR(NOW())-2020,FALSE),""))</f>
        <v/>
      </c>
    </row>
    <row r="238" spans="1:11" x14ac:dyDescent="0.2">
      <c r="A238" s="491" t="s">
        <v>134</v>
      </c>
      <c r="B238" s="492" t="s">
        <v>302</v>
      </c>
      <c r="C238" s="493" t="s">
        <v>13</v>
      </c>
      <c r="D238" s="491" t="s">
        <v>311</v>
      </c>
      <c r="E238" s="493" t="s">
        <v>16</v>
      </c>
      <c r="F238" s="493" t="s">
        <v>17</v>
      </c>
      <c r="G238" s="494">
        <v>1.5</v>
      </c>
      <c r="H238" s="495" cm="1">
        <f t="array" aca="1" ref="H23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38" s="498" t="str">
        <f ca="1">IF(Inventarisatie[[#This Row],[Freq. Ma-Vr]]=0,0,IF(ISNUMBER(SEARCH("/",_xlfn.XLOOKUP(Inventarisatie[[#This Row],[Locatie]],Tabel2[Locatiecode],Tabel2[Basisfrequentie],0,0))),VLOOKUP("za",WkDagen[],YEAR(NOW())-2020,FALSE),""))</f>
        <v/>
      </c>
      <c r="J23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38" s="498" t="str">
        <f ca="1">IF(Inventarisatie[[#This Row],[Freq. Ma-Vr]]=0,0,IF(_xlfn.XLOOKUP(Inventarisatie[[#This Row],[Locatie]],Tabel2[Locatiecode],Tabel2[Basisfrequentie],0,0)=Locatieoverzicht!$F$47,VLOOKUP("fe",WkDagen[],YEAR(NOW())-2020,FALSE),""))</f>
        <v/>
      </c>
    </row>
    <row r="239" spans="1:11" x14ac:dyDescent="0.2">
      <c r="A239" s="491" t="s">
        <v>134</v>
      </c>
      <c r="B239" s="492" t="s">
        <v>302</v>
      </c>
      <c r="C239" s="493" t="s">
        <v>15</v>
      </c>
      <c r="D239" s="491" t="s">
        <v>24</v>
      </c>
      <c r="E239" s="493" t="s">
        <v>24</v>
      </c>
      <c r="F239" s="497" t="s">
        <v>6</v>
      </c>
      <c r="G239" s="494">
        <v>40.9</v>
      </c>
      <c r="H239" s="495" cm="1">
        <f t="array" aca="1" ref="H23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39" s="498" t="str">
        <f ca="1">IF(Inventarisatie[[#This Row],[Freq. Ma-Vr]]=0,0,IF(ISNUMBER(SEARCH("/",_xlfn.XLOOKUP(Inventarisatie[[#This Row],[Locatie]],Tabel2[Locatiecode],Tabel2[Basisfrequentie],0,0))),VLOOKUP("za",WkDagen[],YEAR(NOW())-2020,FALSE),""))</f>
        <v/>
      </c>
      <c r="J23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39" s="498" t="str">
        <f ca="1">IF(Inventarisatie[[#This Row],[Freq. Ma-Vr]]=0,0,IF(_xlfn.XLOOKUP(Inventarisatie[[#This Row],[Locatie]],Tabel2[Locatiecode],Tabel2[Basisfrequentie],0,0)=Locatieoverzicht!$F$47,VLOOKUP("fe",WkDagen[],YEAR(NOW())-2020,FALSE),""))</f>
        <v/>
      </c>
    </row>
    <row r="240" spans="1:11" x14ac:dyDescent="0.2">
      <c r="A240" s="491" t="s">
        <v>135</v>
      </c>
      <c r="B240" s="492" t="s">
        <v>301</v>
      </c>
      <c r="C240" s="493" t="s">
        <v>83</v>
      </c>
      <c r="D240" s="491" t="s">
        <v>24</v>
      </c>
      <c r="E240" s="493" t="s">
        <v>24</v>
      </c>
      <c r="F240" s="497" t="s">
        <v>6</v>
      </c>
      <c r="G240" s="494">
        <v>88.6</v>
      </c>
      <c r="H240" s="495" cm="1">
        <f t="array" aca="1" ref="H24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40" s="498" t="str">
        <f ca="1">IF(Inventarisatie[[#This Row],[Freq. Ma-Vr]]=0,0,IF(ISNUMBER(SEARCH("/",_xlfn.XLOOKUP(Inventarisatie[[#This Row],[Locatie]],Tabel2[Locatiecode],Tabel2[Basisfrequentie],0,0))),VLOOKUP("za",WkDagen[],YEAR(NOW())-2020,FALSE),""))</f>
        <v/>
      </c>
      <c r="J24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40" s="498" t="str">
        <f ca="1">IF(Inventarisatie[[#This Row],[Freq. Ma-Vr]]=0,0,IF(_xlfn.XLOOKUP(Inventarisatie[[#This Row],[Locatie]],Tabel2[Locatiecode],Tabel2[Basisfrequentie],0,0)=Locatieoverzicht!$F$47,VLOOKUP("fe",WkDagen[],YEAR(NOW())-2020,FALSE),""))</f>
        <v/>
      </c>
    </row>
    <row r="241" spans="1:11" x14ac:dyDescent="0.2">
      <c r="A241" s="491" t="s">
        <v>135</v>
      </c>
      <c r="B241" s="492" t="s">
        <v>301</v>
      </c>
      <c r="C241" s="493" t="s">
        <v>84</v>
      </c>
      <c r="D241" s="491" t="s">
        <v>312</v>
      </c>
      <c r="E241" s="493" t="s">
        <v>41</v>
      </c>
      <c r="F241" s="497" t="s">
        <v>6</v>
      </c>
      <c r="G241" s="494">
        <v>25</v>
      </c>
      <c r="H241" s="495" cm="1">
        <f t="array" aca="1" ref="H24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41" s="498" t="str">
        <f ca="1">IF(Inventarisatie[[#This Row],[Freq. Ma-Vr]]=0,0,IF(ISNUMBER(SEARCH("/",_xlfn.XLOOKUP(Inventarisatie[[#This Row],[Locatie]],Tabel2[Locatiecode],Tabel2[Basisfrequentie],0,0))),VLOOKUP("za",WkDagen[],YEAR(NOW())-2020,FALSE),""))</f>
        <v/>
      </c>
      <c r="J24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41" s="498" t="str">
        <f ca="1">IF(Inventarisatie[[#This Row],[Freq. Ma-Vr]]=0,0,IF(_xlfn.XLOOKUP(Inventarisatie[[#This Row],[Locatie]],Tabel2[Locatiecode],Tabel2[Basisfrequentie],0,0)=Locatieoverzicht!$F$47,VLOOKUP("fe",WkDagen[],YEAR(NOW())-2020,FALSE),""))</f>
        <v/>
      </c>
    </row>
    <row r="242" spans="1:11" x14ac:dyDescent="0.2">
      <c r="A242" s="491" t="s">
        <v>135</v>
      </c>
      <c r="B242" s="492" t="s">
        <v>301</v>
      </c>
      <c r="C242" s="493" t="s">
        <v>89</v>
      </c>
      <c r="D242" s="491" t="s">
        <v>310</v>
      </c>
      <c r="E242" s="493" t="s">
        <v>5</v>
      </c>
      <c r="F242" s="497" t="s">
        <v>6</v>
      </c>
      <c r="G242" s="494">
        <v>22.6</v>
      </c>
      <c r="H242" s="495" cm="1">
        <f t="array" aca="1" ref="H24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42" s="498" t="str">
        <f ca="1">IF(Inventarisatie[[#This Row],[Freq. Ma-Vr]]=0,0,IF(ISNUMBER(SEARCH("/",_xlfn.XLOOKUP(Inventarisatie[[#This Row],[Locatie]],Tabel2[Locatiecode],Tabel2[Basisfrequentie],0,0))),VLOOKUP("za",WkDagen[],YEAR(NOW())-2020,FALSE),""))</f>
        <v/>
      </c>
      <c r="J24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42" s="498" t="str">
        <f ca="1">IF(Inventarisatie[[#This Row],[Freq. Ma-Vr]]=0,0,IF(_xlfn.XLOOKUP(Inventarisatie[[#This Row],[Locatie]],Tabel2[Locatiecode],Tabel2[Basisfrequentie],0,0)=Locatieoverzicht!$F$47,VLOOKUP("fe",WkDagen[],YEAR(NOW())-2020,FALSE),""))</f>
        <v/>
      </c>
    </row>
    <row r="243" spans="1:11" x14ac:dyDescent="0.2">
      <c r="A243" s="491" t="s">
        <v>135</v>
      </c>
      <c r="B243" s="492" t="s">
        <v>301</v>
      </c>
      <c r="C243" s="493" t="s">
        <v>60</v>
      </c>
      <c r="D243" s="491" t="s">
        <v>310</v>
      </c>
      <c r="E243" s="493" t="s">
        <v>5</v>
      </c>
      <c r="F243" s="497" t="s">
        <v>6</v>
      </c>
      <c r="G243" s="494">
        <v>22.4</v>
      </c>
      <c r="H243" s="495" cm="1">
        <f t="array" aca="1" ref="H24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43" s="498" t="str">
        <f ca="1">IF(Inventarisatie[[#This Row],[Freq. Ma-Vr]]=0,0,IF(ISNUMBER(SEARCH("/",_xlfn.XLOOKUP(Inventarisatie[[#This Row],[Locatie]],Tabel2[Locatiecode],Tabel2[Basisfrequentie],0,0))),VLOOKUP("za",WkDagen[],YEAR(NOW())-2020,FALSE),""))</f>
        <v/>
      </c>
      <c r="J24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43" s="498" t="str">
        <f ca="1">IF(Inventarisatie[[#This Row],[Freq. Ma-Vr]]=0,0,IF(_xlfn.XLOOKUP(Inventarisatie[[#This Row],[Locatie]],Tabel2[Locatiecode],Tabel2[Basisfrequentie],0,0)=Locatieoverzicht!$F$47,VLOOKUP("fe",WkDagen[],YEAR(NOW())-2020,FALSE),""))</f>
        <v/>
      </c>
    </row>
    <row r="244" spans="1:11" x14ac:dyDescent="0.2">
      <c r="A244" s="491" t="s">
        <v>135</v>
      </c>
      <c r="B244" s="492" t="s">
        <v>301</v>
      </c>
      <c r="C244" s="493" t="s">
        <v>62</v>
      </c>
      <c r="D244" s="491" t="s">
        <v>310</v>
      </c>
      <c r="E244" s="493" t="s">
        <v>5</v>
      </c>
      <c r="F244" s="497" t="s">
        <v>6</v>
      </c>
      <c r="G244" s="494">
        <v>22.4</v>
      </c>
      <c r="H244" s="495" cm="1">
        <f t="array" aca="1" ref="H24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44" s="498" t="str">
        <f ca="1">IF(Inventarisatie[[#This Row],[Freq. Ma-Vr]]=0,0,IF(ISNUMBER(SEARCH("/",_xlfn.XLOOKUP(Inventarisatie[[#This Row],[Locatie]],Tabel2[Locatiecode],Tabel2[Basisfrequentie],0,0))),VLOOKUP("za",WkDagen[],YEAR(NOW())-2020,FALSE),""))</f>
        <v/>
      </c>
      <c r="J24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44" s="498" t="str">
        <f ca="1">IF(Inventarisatie[[#This Row],[Freq. Ma-Vr]]=0,0,IF(_xlfn.XLOOKUP(Inventarisatie[[#This Row],[Locatie]],Tabel2[Locatiecode],Tabel2[Basisfrequentie],0,0)=Locatieoverzicht!$F$47,VLOOKUP("fe",WkDagen[],YEAR(NOW())-2020,FALSE),""))</f>
        <v/>
      </c>
    </row>
    <row r="245" spans="1:11" x14ac:dyDescent="0.2">
      <c r="A245" s="491" t="s">
        <v>135</v>
      </c>
      <c r="B245" s="492" t="s">
        <v>301</v>
      </c>
      <c r="C245" s="493" t="s">
        <v>64</v>
      </c>
      <c r="D245" s="491" t="s">
        <v>310</v>
      </c>
      <c r="E245" s="493" t="s">
        <v>5</v>
      </c>
      <c r="F245" s="497" t="s">
        <v>6</v>
      </c>
      <c r="G245" s="494">
        <v>28.7</v>
      </c>
      <c r="H245" s="495" cm="1">
        <f t="array" aca="1" ref="H24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45" s="498" t="str">
        <f ca="1">IF(Inventarisatie[[#This Row],[Freq. Ma-Vr]]=0,0,IF(ISNUMBER(SEARCH("/",_xlfn.XLOOKUP(Inventarisatie[[#This Row],[Locatie]],Tabel2[Locatiecode],Tabel2[Basisfrequentie],0,0))),VLOOKUP("za",WkDagen[],YEAR(NOW())-2020,FALSE),""))</f>
        <v/>
      </c>
      <c r="J24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45" s="498" t="str">
        <f ca="1">IF(Inventarisatie[[#This Row],[Freq. Ma-Vr]]=0,0,IF(_xlfn.XLOOKUP(Inventarisatie[[#This Row],[Locatie]],Tabel2[Locatiecode],Tabel2[Basisfrequentie],0,0)=Locatieoverzicht!$F$47,VLOOKUP("fe",WkDagen[],YEAR(NOW())-2020,FALSE),""))</f>
        <v/>
      </c>
    </row>
    <row r="246" spans="1:11" x14ac:dyDescent="0.2">
      <c r="A246" s="491" t="s">
        <v>135</v>
      </c>
      <c r="B246" s="492" t="s">
        <v>301</v>
      </c>
      <c r="C246" s="493" t="s">
        <v>65</v>
      </c>
      <c r="D246" s="491" t="s">
        <v>310</v>
      </c>
      <c r="E246" s="493" t="s">
        <v>5</v>
      </c>
      <c r="F246" s="497" t="s">
        <v>6</v>
      </c>
      <c r="G246" s="494">
        <v>22.4</v>
      </c>
      <c r="H246" s="495" cm="1">
        <f t="array" aca="1" ref="H24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46" s="498" t="str">
        <f ca="1">IF(Inventarisatie[[#This Row],[Freq. Ma-Vr]]=0,0,IF(ISNUMBER(SEARCH("/",_xlfn.XLOOKUP(Inventarisatie[[#This Row],[Locatie]],Tabel2[Locatiecode],Tabel2[Basisfrequentie],0,0))),VLOOKUP("za",WkDagen[],YEAR(NOW())-2020,FALSE),""))</f>
        <v/>
      </c>
      <c r="J24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46" s="498" t="str">
        <f ca="1">IF(Inventarisatie[[#This Row],[Freq. Ma-Vr]]=0,0,IF(_xlfn.XLOOKUP(Inventarisatie[[#This Row],[Locatie]],Tabel2[Locatiecode],Tabel2[Basisfrequentie],0,0)=Locatieoverzicht!$F$47,VLOOKUP("fe",WkDagen[],YEAR(NOW())-2020,FALSE),""))</f>
        <v/>
      </c>
    </row>
    <row r="247" spans="1:11" x14ac:dyDescent="0.2">
      <c r="A247" s="491" t="s">
        <v>135</v>
      </c>
      <c r="B247" s="492" t="s">
        <v>301</v>
      </c>
      <c r="C247" s="493" t="s">
        <v>66</v>
      </c>
      <c r="D247" s="491" t="s">
        <v>310</v>
      </c>
      <c r="E247" s="493" t="s">
        <v>5</v>
      </c>
      <c r="F247" s="497" t="s">
        <v>6</v>
      </c>
      <c r="G247" s="494">
        <v>17.3</v>
      </c>
      <c r="H247" s="495" cm="1">
        <f t="array" aca="1" ref="H24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47" s="498" t="str">
        <f ca="1">IF(Inventarisatie[[#This Row],[Freq. Ma-Vr]]=0,0,IF(ISNUMBER(SEARCH("/",_xlfn.XLOOKUP(Inventarisatie[[#This Row],[Locatie]],Tabel2[Locatiecode],Tabel2[Basisfrequentie],0,0))),VLOOKUP("za",WkDagen[],YEAR(NOW())-2020,FALSE),""))</f>
        <v/>
      </c>
      <c r="J24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47" s="498" t="str">
        <f ca="1">IF(Inventarisatie[[#This Row],[Freq. Ma-Vr]]=0,0,IF(_xlfn.XLOOKUP(Inventarisatie[[#This Row],[Locatie]],Tabel2[Locatiecode],Tabel2[Basisfrequentie],0,0)=Locatieoverzicht!$F$47,VLOOKUP("fe",WkDagen[],YEAR(NOW())-2020,FALSE),""))</f>
        <v/>
      </c>
    </row>
    <row r="248" spans="1:11" x14ac:dyDescent="0.2">
      <c r="A248" s="491" t="s">
        <v>135</v>
      </c>
      <c r="B248" s="492" t="s">
        <v>301</v>
      </c>
      <c r="C248" s="493" t="s">
        <v>67</v>
      </c>
      <c r="D248" s="491" t="s">
        <v>312</v>
      </c>
      <c r="E248" s="493" t="s">
        <v>21</v>
      </c>
      <c r="F248" s="497" t="s">
        <v>6</v>
      </c>
      <c r="G248" s="494">
        <v>6.9</v>
      </c>
      <c r="H248" s="495" cm="1">
        <f t="array" aca="1" ref="H24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48" s="498" t="str">
        <f ca="1">IF(Inventarisatie[[#This Row],[Freq. Ma-Vr]]=0,0,IF(ISNUMBER(SEARCH("/",_xlfn.XLOOKUP(Inventarisatie[[#This Row],[Locatie]],Tabel2[Locatiecode],Tabel2[Basisfrequentie],0,0))),VLOOKUP("za",WkDagen[],YEAR(NOW())-2020,FALSE),""))</f>
        <v/>
      </c>
      <c r="J24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48" s="498" t="str">
        <f ca="1">IF(Inventarisatie[[#This Row],[Freq. Ma-Vr]]=0,0,IF(_xlfn.XLOOKUP(Inventarisatie[[#This Row],[Locatie]],Tabel2[Locatiecode],Tabel2[Basisfrequentie],0,0)=Locatieoverzicht!$F$47,VLOOKUP("fe",WkDagen[],YEAR(NOW())-2020,FALSE),""))</f>
        <v/>
      </c>
    </row>
    <row r="249" spans="1:11" x14ac:dyDescent="0.2">
      <c r="A249" s="491" t="s">
        <v>135</v>
      </c>
      <c r="B249" s="492" t="s">
        <v>301</v>
      </c>
      <c r="C249" s="493" t="s">
        <v>68</v>
      </c>
      <c r="D249" s="491" t="s">
        <v>311</v>
      </c>
      <c r="E249" s="493" t="s">
        <v>16</v>
      </c>
      <c r="F249" s="497" t="s">
        <v>136</v>
      </c>
      <c r="G249" s="494">
        <v>3.6</v>
      </c>
      <c r="H249" s="495" cm="1">
        <f t="array" aca="1" ref="H24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49" s="498" t="str">
        <f ca="1">IF(Inventarisatie[[#This Row],[Freq. Ma-Vr]]=0,0,IF(ISNUMBER(SEARCH("/",_xlfn.XLOOKUP(Inventarisatie[[#This Row],[Locatie]],Tabel2[Locatiecode],Tabel2[Basisfrequentie],0,0))),VLOOKUP("za",WkDagen[],YEAR(NOW())-2020,FALSE),""))</f>
        <v/>
      </c>
      <c r="J24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49" s="498" t="str">
        <f ca="1">IF(Inventarisatie[[#This Row],[Freq. Ma-Vr]]=0,0,IF(_xlfn.XLOOKUP(Inventarisatie[[#This Row],[Locatie]],Tabel2[Locatiecode],Tabel2[Basisfrequentie],0,0)=Locatieoverzicht!$F$47,VLOOKUP("fe",WkDagen[],YEAR(NOW())-2020,FALSE),""))</f>
        <v/>
      </c>
    </row>
    <row r="250" spans="1:11" x14ac:dyDescent="0.2">
      <c r="A250" s="491" t="s">
        <v>135</v>
      </c>
      <c r="B250" s="492" t="s">
        <v>301</v>
      </c>
      <c r="C250" s="493" t="s">
        <v>72</v>
      </c>
      <c r="D250" s="491" t="s">
        <v>311</v>
      </c>
      <c r="E250" s="493" t="s">
        <v>16</v>
      </c>
      <c r="F250" s="493" t="s">
        <v>136</v>
      </c>
      <c r="G250" s="494">
        <v>2.1</v>
      </c>
      <c r="H250" s="495" cm="1">
        <f t="array" aca="1" ref="H25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50" s="498" t="str">
        <f ca="1">IF(Inventarisatie[[#This Row],[Freq. Ma-Vr]]=0,0,IF(ISNUMBER(SEARCH("/",_xlfn.XLOOKUP(Inventarisatie[[#This Row],[Locatie]],Tabel2[Locatiecode],Tabel2[Basisfrequentie],0,0))),VLOOKUP("za",WkDagen[],YEAR(NOW())-2020,FALSE),""))</f>
        <v/>
      </c>
      <c r="J25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50" s="498" t="str">
        <f ca="1">IF(Inventarisatie[[#This Row],[Freq. Ma-Vr]]=0,0,IF(_xlfn.XLOOKUP(Inventarisatie[[#This Row],[Locatie]],Tabel2[Locatiecode],Tabel2[Basisfrequentie],0,0)=Locatieoverzicht!$F$47,VLOOKUP("fe",WkDagen[],YEAR(NOW())-2020,FALSE),""))</f>
        <v/>
      </c>
    </row>
    <row r="251" spans="1:11" x14ac:dyDescent="0.2">
      <c r="A251" s="491" t="s">
        <v>135</v>
      </c>
      <c r="B251" s="492" t="s">
        <v>301</v>
      </c>
      <c r="C251" s="493" t="s">
        <v>69</v>
      </c>
      <c r="D251" s="491" t="s">
        <v>307</v>
      </c>
      <c r="E251" s="493" t="s">
        <v>112</v>
      </c>
      <c r="F251" s="497" t="s">
        <v>137</v>
      </c>
      <c r="G251" s="494">
        <v>14.6</v>
      </c>
      <c r="H251" s="495" cm="1">
        <f t="array" aca="1" ref="H25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51" s="498" t="str">
        <f ca="1">IF(Inventarisatie[[#This Row],[Freq. Ma-Vr]]=0,0,IF(ISNUMBER(SEARCH("/",_xlfn.XLOOKUP(Inventarisatie[[#This Row],[Locatie]],Tabel2[Locatiecode],Tabel2[Basisfrequentie],0,0))),VLOOKUP("za",WkDagen[],YEAR(NOW())-2020,FALSE),""))</f>
        <v/>
      </c>
      <c r="J25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51" s="498" t="str">
        <f ca="1">IF(Inventarisatie[[#This Row],[Freq. Ma-Vr]]=0,0,IF(_xlfn.XLOOKUP(Inventarisatie[[#This Row],[Locatie]],Tabel2[Locatiecode],Tabel2[Basisfrequentie],0,0)=Locatieoverzicht!$F$47,VLOOKUP("fe",WkDagen[],YEAR(NOW())-2020,FALSE),""))</f>
        <v/>
      </c>
    </row>
    <row r="252" spans="1:11" x14ac:dyDescent="0.2">
      <c r="A252" s="491" t="s">
        <v>135</v>
      </c>
      <c r="B252" s="492" t="s">
        <v>301</v>
      </c>
      <c r="C252" s="493" t="s">
        <v>95</v>
      </c>
      <c r="D252" s="491" t="s">
        <v>307</v>
      </c>
      <c r="E252" s="493" t="s">
        <v>112</v>
      </c>
      <c r="F252" s="493" t="s">
        <v>137</v>
      </c>
      <c r="G252" s="494">
        <v>14.2</v>
      </c>
      <c r="H252" s="495" cm="1">
        <f t="array" aca="1" ref="H25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52" s="498" t="str">
        <f ca="1">IF(Inventarisatie[[#This Row],[Freq. Ma-Vr]]=0,0,IF(ISNUMBER(SEARCH("/",_xlfn.XLOOKUP(Inventarisatie[[#This Row],[Locatie]],Tabel2[Locatiecode],Tabel2[Basisfrequentie],0,0))),VLOOKUP("za",WkDagen[],YEAR(NOW())-2020,FALSE),""))</f>
        <v/>
      </c>
      <c r="J25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52" s="498" t="str">
        <f ca="1">IF(Inventarisatie[[#This Row],[Freq. Ma-Vr]]=0,0,IF(_xlfn.XLOOKUP(Inventarisatie[[#This Row],[Locatie]],Tabel2[Locatiecode],Tabel2[Basisfrequentie],0,0)=Locatieoverzicht!$F$47,VLOOKUP("fe",WkDagen[],YEAR(NOW())-2020,FALSE),""))</f>
        <v/>
      </c>
    </row>
    <row r="253" spans="1:11" x14ac:dyDescent="0.2">
      <c r="A253" s="499" t="s">
        <v>135</v>
      </c>
      <c r="B253" s="492" t="s">
        <v>301</v>
      </c>
      <c r="C253" s="501" t="s">
        <v>138</v>
      </c>
      <c r="D253" s="491" t="s">
        <v>310</v>
      </c>
      <c r="E253" s="493" t="s">
        <v>5</v>
      </c>
      <c r="F253" s="502" t="s">
        <v>6</v>
      </c>
      <c r="G253" s="494">
        <v>14.2</v>
      </c>
      <c r="H253" s="495" cm="1">
        <f t="array" aca="1" ref="H25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53" s="498" t="str">
        <f ca="1">IF(Inventarisatie[[#This Row],[Freq. Ma-Vr]]=0,0,IF(ISNUMBER(SEARCH("/",_xlfn.XLOOKUP(Inventarisatie[[#This Row],[Locatie]],Tabel2[Locatiecode],Tabel2[Basisfrequentie],0,0))),VLOOKUP("za",WkDagen[],YEAR(NOW())-2020,FALSE),""))</f>
        <v/>
      </c>
      <c r="J25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53" s="498" t="str">
        <f ca="1">IF(Inventarisatie[[#This Row],[Freq. Ma-Vr]]=0,0,IF(_xlfn.XLOOKUP(Inventarisatie[[#This Row],[Locatie]],Tabel2[Locatiecode],Tabel2[Basisfrequentie],0,0)=Locatieoverzicht!$F$47,VLOOKUP("fe",WkDagen[],YEAR(NOW())-2020,FALSE),""))</f>
        <v/>
      </c>
    </row>
    <row r="254" spans="1:11" x14ac:dyDescent="0.2">
      <c r="A254" s="499" t="s">
        <v>135</v>
      </c>
      <c r="B254" s="492" t="s">
        <v>301</v>
      </c>
      <c r="C254" s="501" t="s">
        <v>139</v>
      </c>
      <c r="D254" s="491" t="s">
        <v>310</v>
      </c>
      <c r="E254" s="493" t="s">
        <v>5</v>
      </c>
      <c r="F254" s="501" t="s">
        <v>137</v>
      </c>
      <c r="G254" s="494">
        <v>25</v>
      </c>
      <c r="H254" s="495" cm="1">
        <f t="array" aca="1" ref="H25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54" s="498" t="str">
        <f ca="1">IF(Inventarisatie[[#This Row],[Freq. Ma-Vr]]=0,0,IF(ISNUMBER(SEARCH("/",_xlfn.XLOOKUP(Inventarisatie[[#This Row],[Locatie]],Tabel2[Locatiecode],Tabel2[Basisfrequentie],0,0))),VLOOKUP("za",WkDagen[],YEAR(NOW())-2020,FALSE),""))</f>
        <v/>
      </c>
      <c r="J25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54" s="498" t="str">
        <f ca="1">IF(Inventarisatie[[#This Row],[Freq. Ma-Vr]]=0,0,IF(_xlfn.XLOOKUP(Inventarisatie[[#This Row],[Locatie]],Tabel2[Locatiecode],Tabel2[Basisfrequentie],0,0)=Locatieoverzicht!$F$47,VLOOKUP("fe",WkDagen[],YEAR(NOW())-2020,FALSE),""))</f>
        <v/>
      </c>
    </row>
    <row r="255" spans="1:11" x14ac:dyDescent="0.2">
      <c r="A255" s="499" t="s">
        <v>135</v>
      </c>
      <c r="B255" s="492" t="s">
        <v>301</v>
      </c>
      <c r="C255" s="501" t="s">
        <v>140</v>
      </c>
      <c r="D255" s="491" t="s">
        <v>311</v>
      </c>
      <c r="E255" s="501" t="s">
        <v>16</v>
      </c>
      <c r="F255" s="501" t="s">
        <v>17</v>
      </c>
      <c r="G255" s="494">
        <v>3.6</v>
      </c>
      <c r="H255" s="495" cm="1">
        <f t="array" aca="1" ref="H25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55" s="498" t="str">
        <f ca="1">IF(Inventarisatie[[#This Row],[Freq. Ma-Vr]]=0,0,IF(ISNUMBER(SEARCH("/",_xlfn.XLOOKUP(Inventarisatie[[#This Row],[Locatie]],Tabel2[Locatiecode],Tabel2[Basisfrequentie],0,0))),VLOOKUP("za",WkDagen[],YEAR(NOW())-2020,FALSE),""))</f>
        <v/>
      </c>
      <c r="J25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55" s="498" t="str">
        <f ca="1">IF(Inventarisatie[[#This Row],[Freq. Ma-Vr]]=0,0,IF(_xlfn.XLOOKUP(Inventarisatie[[#This Row],[Locatie]],Tabel2[Locatiecode],Tabel2[Basisfrequentie],0,0)=Locatieoverzicht!$F$47,VLOOKUP("fe",WkDagen[],YEAR(NOW())-2020,FALSE),""))</f>
        <v/>
      </c>
    </row>
    <row r="256" spans="1:11" x14ac:dyDescent="0.2">
      <c r="A256" s="499" t="s">
        <v>135</v>
      </c>
      <c r="B256" s="492" t="s">
        <v>301</v>
      </c>
      <c r="C256" s="501" t="s">
        <v>140</v>
      </c>
      <c r="D256" s="491" t="s">
        <v>311</v>
      </c>
      <c r="E256" s="501" t="s">
        <v>16</v>
      </c>
      <c r="F256" s="501" t="s">
        <v>17</v>
      </c>
      <c r="G256" s="494">
        <v>2.1</v>
      </c>
      <c r="H256" s="495" cm="1">
        <f t="array" aca="1" ref="H25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56" s="498" t="str">
        <f ca="1">IF(Inventarisatie[[#This Row],[Freq. Ma-Vr]]=0,0,IF(ISNUMBER(SEARCH("/",_xlfn.XLOOKUP(Inventarisatie[[#This Row],[Locatie]],Tabel2[Locatiecode],Tabel2[Basisfrequentie],0,0))),VLOOKUP("za",WkDagen[],YEAR(NOW())-2020,FALSE),""))</f>
        <v/>
      </c>
      <c r="J25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56" s="498" t="str">
        <f ca="1">IF(Inventarisatie[[#This Row],[Freq. Ma-Vr]]=0,0,IF(_xlfn.XLOOKUP(Inventarisatie[[#This Row],[Locatie]],Tabel2[Locatiecode],Tabel2[Basisfrequentie],0,0)=Locatieoverzicht!$F$47,VLOOKUP("fe",WkDagen[],YEAR(NOW())-2020,FALSE),""))</f>
        <v/>
      </c>
    </row>
    <row r="257" spans="1:11" x14ac:dyDescent="0.2">
      <c r="A257" s="499" t="s">
        <v>135</v>
      </c>
      <c r="B257" s="492" t="s">
        <v>301</v>
      </c>
      <c r="C257" s="501" t="s">
        <v>94</v>
      </c>
      <c r="D257" s="491" t="s">
        <v>312</v>
      </c>
      <c r="E257" s="501" t="s">
        <v>94</v>
      </c>
      <c r="F257" s="501" t="s">
        <v>6</v>
      </c>
      <c r="G257" s="494">
        <v>17</v>
      </c>
      <c r="H257" s="495" cm="1">
        <f t="array" aca="1" ref="H25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57" s="498" t="str">
        <f ca="1">IF(Inventarisatie[[#This Row],[Freq. Ma-Vr]]=0,0,IF(ISNUMBER(SEARCH("/",_xlfn.XLOOKUP(Inventarisatie[[#This Row],[Locatie]],Tabel2[Locatiecode],Tabel2[Basisfrequentie],0,0))),VLOOKUP("za",WkDagen[],YEAR(NOW())-2020,FALSE),""))</f>
        <v/>
      </c>
      <c r="J25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57" s="498" t="str">
        <f ca="1">IF(Inventarisatie[[#This Row],[Freq. Ma-Vr]]=0,0,IF(_xlfn.XLOOKUP(Inventarisatie[[#This Row],[Locatie]],Tabel2[Locatiecode],Tabel2[Basisfrequentie],0,0)=Locatieoverzicht!$F$47,VLOOKUP("fe",WkDagen[],YEAR(NOW())-2020,FALSE),""))</f>
        <v/>
      </c>
    </row>
    <row r="258" spans="1:11" x14ac:dyDescent="0.2">
      <c r="A258" s="499" t="s">
        <v>141</v>
      </c>
      <c r="B258" s="492" t="s">
        <v>301</v>
      </c>
      <c r="C258" s="501" t="s">
        <v>60</v>
      </c>
      <c r="D258" s="491" t="s">
        <v>312</v>
      </c>
      <c r="E258" s="501" t="s">
        <v>94</v>
      </c>
      <c r="F258" s="501" t="s">
        <v>6</v>
      </c>
      <c r="G258" s="494">
        <v>16.399999999999999</v>
      </c>
      <c r="H258" s="495" cm="1">
        <f t="array" aca="1" ref="H25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58" s="498" t="str">
        <f ca="1">IF(Inventarisatie[[#This Row],[Freq. Ma-Vr]]=0,0,IF(ISNUMBER(SEARCH("/",_xlfn.XLOOKUP(Inventarisatie[[#This Row],[Locatie]],Tabel2[Locatiecode],Tabel2[Basisfrequentie],0,0))),VLOOKUP("za",WkDagen[],YEAR(NOW())-2020,FALSE),""))</f>
        <v/>
      </c>
      <c r="J25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58" s="498" t="str">
        <f ca="1">IF(Inventarisatie[[#This Row],[Freq. Ma-Vr]]=0,0,IF(_xlfn.XLOOKUP(Inventarisatie[[#This Row],[Locatie]],Tabel2[Locatiecode],Tabel2[Basisfrequentie],0,0)=Locatieoverzicht!$F$47,VLOOKUP("fe",WkDagen[],YEAR(NOW())-2020,FALSE),""))</f>
        <v/>
      </c>
    </row>
    <row r="259" spans="1:11" x14ac:dyDescent="0.2">
      <c r="A259" s="493" t="s">
        <v>141</v>
      </c>
      <c r="B259" s="492" t="s">
        <v>301</v>
      </c>
      <c r="C259" s="493" t="s">
        <v>62</v>
      </c>
      <c r="D259" s="491" t="s">
        <v>24</v>
      </c>
      <c r="E259" s="493" t="s">
        <v>24</v>
      </c>
      <c r="F259" s="497" t="s">
        <v>6</v>
      </c>
      <c r="G259" s="494">
        <v>30.1</v>
      </c>
      <c r="H259" s="495" cm="1">
        <f t="array" aca="1" ref="H25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59" s="498" t="str">
        <f ca="1">IF(Inventarisatie[[#This Row],[Freq. Ma-Vr]]=0,0,IF(ISNUMBER(SEARCH("/",_xlfn.XLOOKUP(Inventarisatie[[#This Row],[Locatie]],Tabel2[Locatiecode],Tabel2[Basisfrequentie],0,0))),VLOOKUP("za",WkDagen[],YEAR(NOW())-2020,FALSE),""))</f>
        <v/>
      </c>
      <c r="J25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59" s="498" t="str">
        <f ca="1">IF(Inventarisatie[[#This Row],[Freq. Ma-Vr]]=0,0,IF(_xlfn.XLOOKUP(Inventarisatie[[#This Row],[Locatie]],Tabel2[Locatiecode],Tabel2[Basisfrequentie],0,0)=Locatieoverzicht!$F$47,VLOOKUP("fe",WkDagen[],YEAR(NOW())-2020,FALSE),""))</f>
        <v/>
      </c>
    </row>
    <row r="260" spans="1:11" x14ac:dyDescent="0.2">
      <c r="A260" s="491" t="s">
        <v>141</v>
      </c>
      <c r="B260" s="492" t="s">
        <v>301</v>
      </c>
      <c r="C260" s="493" t="s">
        <v>64</v>
      </c>
      <c r="D260" s="491" t="s">
        <v>310</v>
      </c>
      <c r="E260" s="493" t="s">
        <v>5</v>
      </c>
      <c r="F260" s="493" t="s">
        <v>6</v>
      </c>
      <c r="G260" s="494">
        <v>15.3</v>
      </c>
      <c r="H260" s="495" cm="1">
        <f t="array" aca="1" ref="H26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60" s="498" t="str">
        <f ca="1">IF(Inventarisatie[[#This Row],[Freq. Ma-Vr]]=0,0,IF(ISNUMBER(SEARCH("/",_xlfn.XLOOKUP(Inventarisatie[[#This Row],[Locatie]],Tabel2[Locatiecode],Tabel2[Basisfrequentie],0,0))),VLOOKUP("za",WkDagen[],YEAR(NOW())-2020,FALSE),""))</f>
        <v/>
      </c>
      <c r="J26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60" s="498" t="str">
        <f ca="1">IF(Inventarisatie[[#This Row],[Freq. Ma-Vr]]=0,0,IF(_xlfn.XLOOKUP(Inventarisatie[[#This Row],[Locatie]],Tabel2[Locatiecode],Tabel2[Basisfrequentie],0,0)=Locatieoverzicht!$F$47,VLOOKUP("fe",WkDagen[],YEAR(NOW())-2020,FALSE),""))</f>
        <v/>
      </c>
    </row>
    <row r="261" spans="1:11" x14ac:dyDescent="0.2">
      <c r="A261" s="493" t="s">
        <v>141</v>
      </c>
      <c r="B261" s="492" t="s">
        <v>301</v>
      </c>
      <c r="C261" s="493" t="s">
        <v>65</v>
      </c>
      <c r="D261" s="491" t="s">
        <v>310</v>
      </c>
      <c r="E261" s="493" t="s">
        <v>5</v>
      </c>
      <c r="F261" s="497" t="s">
        <v>6</v>
      </c>
      <c r="G261" s="494">
        <v>16.5</v>
      </c>
      <c r="H261" s="495" cm="1">
        <f t="array" aca="1" ref="H26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61" s="498" t="str">
        <f ca="1">IF(Inventarisatie[[#This Row],[Freq. Ma-Vr]]=0,0,IF(ISNUMBER(SEARCH("/",_xlfn.XLOOKUP(Inventarisatie[[#This Row],[Locatie]],Tabel2[Locatiecode],Tabel2[Basisfrequentie],0,0))),VLOOKUP("za",WkDagen[],YEAR(NOW())-2020,FALSE),""))</f>
        <v/>
      </c>
      <c r="J26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61" s="498" t="str">
        <f ca="1">IF(Inventarisatie[[#This Row],[Freq. Ma-Vr]]=0,0,IF(_xlfn.XLOOKUP(Inventarisatie[[#This Row],[Locatie]],Tabel2[Locatiecode],Tabel2[Basisfrequentie],0,0)=Locatieoverzicht!$F$47,VLOOKUP("fe",WkDagen[],YEAR(NOW())-2020,FALSE),""))</f>
        <v/>
      </c>
    </row>
    <row r="262" spans="1:11" x14ac:dyDescent="0.2">
      <c r="A262" s="491" t="s">
        <v>141</v>
      </c>
      <c r="B262" s="492" t="s">
        <v>301</v>
      </c>
      <c r="C262" s="493" t="s">
        <v>66</v>
      </c>
      <c r="D262" s="491" t="s">
        <v>307</v>
      </c>
      <c r="E262" s="493" t="s">
        <v>26</v>
      </c>
      <c r="F262" s="493" t="s">
        <v>6</v>
      </c>
      <c r="G262" s="494">
        <v>17.100000000000001</v>
      </c>
      <c r="H262" s="495" cm="1">
        <f t="array" aca="1" ref="H26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62" s="498" t="str">
        <f ca="1">IF(Inventarisatie[[#This Row],[Freq. Ma-Vr]]=0,0,IF(ISNUMBER(SEARCH("/",_xlfn.XLOOKUP(Inventarisatie[[#This Row],[Locatie]],Tabel2[Locatiecode],Tabel2[Basisfrequentie],0,0))),VLOOKUP("za",WkDagen[],YEAR(NOW())-2020,FALSE),""))</f>
        <v/>
      </c>
      <c r="J26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62" s="498" t="str">
        <f ca="1">IF(Inventarisatie[[#This Row],[Freq. Ma-Vr]]=0,0,IF(_xlfn.XLOOKUP(Inventarisatie[[#This Row],[Locatie]],Tabel2[Locatiecode],Tabel2[Basisfrequentie],0,0)=Locatieoverzicht!$F$47,VLOOKUP("fe",WkDagen[],YEAR(NOW())-2020,FALSE),""))</f>
        <v/>
      </c>
    </row>
    <row r="263" spans="1:11" x14ac:dyDescent="0.2">
      <c r="A263" s="493" t="s">
        <v>141</v>
      </c>
      <c r="B263" s="492" t="s">
        <v>301</v>
      </c>
      <c r="C263" s="493" t="s">
        <v>67</v>
      </c>
      <c r="D263" s="491" t="s">
        <v>308</v>
      </c>
      <c r="E263" s="493" t="s">
        <v>35</v>
      </c>
      <c r="F263" s="497" t="s">
        <v>6</v>
      </c>
      <c r="G263" s="494">
        <v>1.9</v>
      </c>
      <c r="H263" s="495" cm="1">
        <f t="array" aca="1" ref="H26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63" s="498" t="str">
        <f ca="1">IF(Inventarisatie[[#This Row],[Freq. Ma-Vr]]=0,0,IF(ISNUMBER(SEARCH("/",_xlfn.XLOOKUP(Inventarisatie[[#This Row],[Locatie]],Tabel2[Locatiecode],Tabel2[Basisfrequentie],0,0))),VLOOKUP("za",WkDagen[],YEAR(NOW())-2020,FALSE),""))</f>
        <v/>
      </c>
      <c r="J26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63" s="498" t="str">
        <f ca="1">IF(Inventarisatie[[#This Row],[Freq. Ma-Vr]]=0,0,IF(_xlfn.XLOOKUP(Inventarisatie[[#This Row],[Locatie]],Tabel2[Locatiecode],Tabel2[Basisfrequentie],0,0)=Locatieoverzicht!$F$47,VLOOKUP("fe",WkDagen[],YEAR(NOW())-2020,FALSE),""))</f>
        <v/>
      </c>
    </row>
    <row r="264" spans="1:11" x14ac:dyDescent="0.2">
      <c r="A264" s="491" t="s">
        <v>141</v>
      </c>
      <c r="B264" s="492" t="s">
        <v>301</v>
      </c>
      <c r="C264" s="493" t="s">
        <v>72</v>
      </c>
      <c r="D264" s="491" t="s">
        <v>312</v>
      </c>
      <c r="E264" s="493" t="s">
        <v>21</v>
      </c>
      <c r="F264" s="493" t="s">
        <v>6</v>
      </c>
      <c r="G264" s="494">
        <v>1.2</v>
      </c>
      <c r="H264" s="495" cm="1">
        <f t="array" aca="1" ref="H26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64" s="498" t="str">
        <f ca="1">IF(Inventarisatie[[#This Row],[Freq. Ma-Vr]]=0,0,IF(ISNUMBER(SEARCH("/",_xlfn.XLOOKUP(Inventarisatie[[#This Row],[Locatie]],Tabel2[Locatiecode],Tabel2[Basisfrequentie],0,0))),VLOOKUP("za",WkDagen[],YEAR(NOW())-2020,FALSE),""))</f>
        <v/>
      </c>
      <c r="J26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64" s="498" t="str">
        <f ca="1">IF(Inventarisatie[[#This Row],[Freq. Ma-Vr]]=0,0,IF(_xlfn.XLOOKUP(Inventarisatie[[#This Row],[Locatie]],Tabel2[Locatiecode],Tabel2[Basisfrequentie],0,0)=Locatieoverzicht!$F$47,VLOOKUP("fe",WkDagen[],YEAR(NOW())-2020,FALSE),""))</f>
        <v/>
      </c>
    </row>
    <row r="265" spans="1:11" x14ac:dyDescent="0.2">
      <c r="A265" s="493" t="s">
        <v>141</v>
      </c>
      <c r="B265" s="492" t="s">
        <v>301</v>
      </c>
      <c r="C265" s="493" t="s">
        <v>95</v>
      </c>
      <c r="D265" s="491" t="s">
        <v>311</v>
      </c>
      <c r="E265" s="493" t="s">
        <v>90</v>
      </c>
      <c r="F265" s="497" t="s">
        <v>17</v>
      </c>
      <c r="G265" s="494">
        <v>3.8</v>
      </c>
      <c r="H265" s="495" cm="1">
        <f t="array" aca="1" ref="H26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65" s="498" t="str">
        <f ca="1">IF(Inventarisatie[[#This Row],[Freq. Ma-Vr]]=0,0,IF(ISNUMBER(SEARCH("/",_xlfn.XLOOKUP(Inventarisatie[[#This Row],[Locatie]],Tabel2[Locatiecode],Tabel2[Basisfrequentie],0,0))),VLOOKUP("za",WkDagen[],YEAR(NOW())-2020,FALSE),""))</f>
        <v/>
      </c>
      <c r="J26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65" s="498" t="str">
        <f ca="1">IF(Inventarisatie[[#This Row],[Freq. Ma-Vr]]=0,0,IF(_xlfn.XLOOKUP(Inventarisatie[[#This Row],[Locatie]],Tabel2[Locatiecode],Tabel2[Basisfrequentie],0,0)=Locatieoverzicht!$F$47,VLOOKUP("fe",WkDagen[],YEAR(NOW())-2020,FALSE),""))</f>
        <v/>
      </c>
    </row>
    <row r="266" spans="1:11" x14ac:dyDescent="0.2">
      <c r="A266" s="491" t="s">
        <v>141</v>
      </c>
      <c r="B266" s="492" t="s">
        <v>301</v>
      </c>
      <c r="C266" s="493" t="s">
        <v>73</v>
      </c>
      <c r="D266" s="491" t="s">
        <v>311</v>
      </c>
      <c r="E266" s="493" t="s">
        <v>16</v>
      </c>
      <c r="F266" s="493" t="s">
        <v>17</v>
      </c>
      <c r="G266" s="494">
        <v>1.5</v>
      </c>
      <c r="H266" s="495" cm="1">
        <f t="array" aca="1" ref="H26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66" s="498" t="str">
        <f ca="1">IF(Inventarisatie[[#This Row],[Freq. Ma-Vr]]=0,0,IF(ISNUMBER(SEARCH("/",_xlfn.XLOOKUP(Inventarisatie[[#This Row],[Locatie]],Tabel2[Locatiecode],Tabel2[Basisfrequentie],0,0))),VLOOKUP("za",WkDagen[],YEAR(NOW())-2020,FALSE),""))</f>
        <v/>
      </c>
      <c r="J26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66" s="498" t="str">
        <f ca="1">IF(Inventarisatie[[#This Row],[Freq. Ma-Vr]]=0,0,IF(_xlfn.XLOOKUP(Inventarisatie[[#This Row],[Locatie]],Tabel2[Locatiecode],Tabel2[Basisfrequentie],0,0)=Locatieoverzicht!$F$47,VLOOKUP("fe",WkDagen[],YEAR(NOW())-2020,FALSE),""))</f>
        <v/>
      </c>
    </row>
    <row r="267" spans="1:11" x14ac:dyDescent="0.2">
      <c r="A267" s="493" t="s">
        <v>141</v>
      </c>
      <c r="B267" s="492" t="s">
        <v>301</v>
      </c>
      <c r="C267" s="493" t="s">
        <v>71</v>
      </c>
      <c r="D267" s="491" t="s">
        <v>312</v>
      </c>
      <c r="E267" s="493" t="s">
        <v>80</v>
      </c>
      <c r="F267" s="497" t="s">
        <v>6</v>
      </c>
      <c r="G267" s="494">
        <v>2.2999999999999998</v>
      </c>
      <c r="H267" s="495" cm="1">
        <f t="array" aca="1" ref="H26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67" s="498" t="str">
        <f ca="1">IF(Inventarisatie[[#This Row],[Freq. Ma-Vr]]=0,0,IF(ISNUMBER(SEARCH("/",_xlfn.XLOOKUP(Inventarisatie[[#This Row],[Locatie]],Tabel2[Locatiecode],Tabel2[Basisfrequentie],0,0))),VLOOKUP("za",WkDagen[],YEAR(NOW())-2020,FALSE),""))</f>
        <v/>
      </c>
      <c r="J26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67" s="498" t="str">
        <f ca="1">IF(Inventarisatie[[#This Row],[Freq. Ma-Vr]]=0,0,IF(_xlfn.XLOOKUP(Inventarisatie[[#This Row],[Locatie]],Tabel2[Locatiecode],Tabel2[Basisfrequentie],0,0)=Locatieoverzicht!$F$47,VLOOKUP("fe",WkDagen[],YEAR(NOW())-2020,FALSE),""))</f>
        <v/>
      </c>
    </row>
    <row r="268" spans="1:11" x14ac:dyDescent="0.2">
      <c r="A268" s="491" t="s">
        <v>142</v>
      </c>
      <c r="B268" s="492" t="s">
        <v>301</v>
      </c>
      <c r="C268" s="493" t="s">
        <v>60</v>
      </c>
      <c r="D268" s="491" t="s">
        <v>312</v>
      </c>
      <c r="E268" s="493" t="s">
        <v>37</v>
      </c>
      <c r="F268" s="493" t="s">
        <v>6</v>
      </c>
      <c r="G268" s="494">
        <v>40.6</v>
      </c>
      <c r="H268" s="495" cm="1">
        <f t="array" aca="1" ref="H26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68" s="498" t="str">
        <f ca="1">IF(Inventarisatie[[#This Row],[Freq. Ma-Vr]]=0,0,IF(ISNUMBER(SEARCH("/",_xlfn.XLOOKUP(Inventarisatie[[#This Row],[Locatie]],Tabel2[Locatiecode],Tabel2[Basisfrequentie],0,0))),VLOOKUP("za",WkDagen[],YEAR(NOW())-2020,FALSE),""))</f>
        <v/>
      </c>
      <c r="J26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68" s="498" t="str">
        <f ca="1">IF(Inventarisatie[[#This Row],[Freq. Ma-Vr]]=0,0,IF(_xlfn.XLOOKUP(Inventarisatie[[#This Row],[Locatie]],Tabel2[Locatiecode],Tabel2[Basisfrequentie],0,0)=Locatieoverzicht!$F$47,VLOOKUP("fe",WkDagen[],YEAR(NOW())-2020,FALSE),""))</f>
        <v/>
      </c>
    </row>
    <row r="269" spans="1:11" x14ac:dyDescent="0.2">
      <c r="A269" s="491" t="s">
        <v>142</v>
      </c>
      <c r="B269" s="492" t="s">
        <v>301</v>
      </c>
      <c r="C269" s="493" t="s">
        <v>62</v>
      </c>
      <c r="D269" s="491" t="s">
        <v>311</v>
      </c>
      <c r="E269" s="493" t="s">
        <v>143</v>
      </c>
      <c r="F269" s="497" t="s">
        <v>17</v>
      </c>
      <c r="G269" s="494">
        <v>3.5</v>
      </c>
      <c r="H269" s="495" cm="1">
        <f t="array" aca="1" ref="H26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69" s="498" t="str">
        <f ca="1">IF(Inventarisatie[[#This Row],[Freq. Ma-Vr]]=0,0,IF(ISNUMBER(SEARCH("/",_xlfn.XLOOKUP(Inventarisatie[[#This Row],[Locatie]],Tabel2[Locatiecode],Tabel2[Basisfrequentie],0,0))),VLOOKUP("za",WkDagen[],YEAR(NOW())-2020,FALSE),""))</f>
        <v/>
      </c>
      <c r="J26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69" s="498" t="str">
        <f ca="1">IF(Inventarisatie[[#This Row],[Freq. Ma-Vr]]=0,0,IF(_xlfn.XLOOKUP(Inventarisatie[[#This Row],[Locatie]],Tabel2[Locatiecode],Tabel2[Basisfrequentie],0,0)=Locatieoverzicht!$F$47,VLOOKUP("fe",WkDagen[],YEAR(NOW())-2020,FALSE),""))</f>
        <v/>
      </c>
    </row>
    <row r="270" spans="1:11" x14ac:dyDescent="0.2">
      <c r="A270" s="491" t="s">
        <v>142</v>
      </c>
      <c r="B270" s="492" t="s">
        <v>301</v>
      </c>
      <c r="C270" s="493" t="s">
        <v>144</v>
      </c>
      <c r="D270" s="491" t="s">
        <v>311</v>
      </c>
      <c r="E270" s="493" t="s">
        <v>16</v>
      </c>
      <c r="F270" s="493" t="s">
        <v>17</v>
      </c>
      <c r="G270" s="494">
        <v>1.1000000000000001</v>
      </c>
      <c r="H270" s="495" cm="1">
        <f t="array" aca="1" ref="H27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70" s="498" t="str">
        <f ca="1">IF(Inventarisatie[[#This Row],[Freq. Ma-Vr]]=0,0,IF(ISNUMBER(SEARCH("/",_xlfn.XLOOKUP(Inventarisatie[[#This Row],[Locatie]],Tabel2[Locatiecode],Tabel2[Basisfrequentie],0,0))),VLOOKUP("za",WkDagen[],YEAR(NOW())-2020,FALSE),""))</f>
        <v/>
      </c>
      <c r="J27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70" s="498" t="str">
        <f ca="1">IF(Inventarisatie[[#This Row],[Freq. Ma-Vr]]=0,0,IF(_xlfn.XLOOKUP(Inventarisatie[[#This Row],[Locatie]],Tabel2[Locatiecode],Tabel2[Basisfrequentie],0,0)=Locatieoverzicht!$F$47,VLOOKUP("fe",WkDagen[],YEAR(NOW())-2020,FALSE),""))</f>
        <v/>
      </c>
    </row>
    <row r="271" spans="1:11" x14ac:dyDescent="0.2">
      <c r="A271" s="491" t="s">
        <v>142</v>
      </c>
      <c r="B271" s="492" t="s">
        <v>301</v>
      </c>
      <c r="C271" s="493" t="s">
        <v>145</v>
      </c>
      <c r="D271" s="491" t="s">
        <v>311</v>
      </c>
      <c r="E271" s="493" t="s">
        <v>16</v>
      </c>
      <c r="F271" s="497" t="s">
        <v>17</v>
      </c>
      <c r="G271" s="494">
        <v>1.1000000000000001</v>
      </c>
      <c r="H271" s="495" cm="1">
        <f t="array" aca="1" ref="H27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71" s="498" t="str">
        <f ca="1">IF(Inventarisatie[[#This Row],[Freq. Ma-Vr]]=0,0,IF(ISNUMBER(SEARCH("/",_xlfn.XLOOKUP(Inventarisatie[[#This Row],[Locatie]],Tabel2[Locatiecode],Tabel2[Basisfrequentie],0,0))),VLOOKUP("za",WkDagen[],YEAR(NOW())-2020,FALSE),""))</f>
        <v/>
      </c>
      <c r="J27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71" s="498" t="str">
        <f ca="1">IF(Inventarisatie[[#This Row],[Freq. Ma-Vr]]=0,0,IF(_xlfn.XLOOKUP(Inventarisatie[[#This Row],[Locatie]],Tabel2[Locatiecode],Tabel2[Basisfrequentie],0,0)=Locatieoverzicht!$F$47,VLOOKUP("fe",WkDagen[],YEAR(NOW())-2020,FALSE),""))</f>
        <v/>
      </c>
    </row>
    <row r="272" spans="1:11" x14ac:dyDescent="0.2">
      <c r="A272" s="491" t="s">
        <v>142</v>
      </c>
      <c r="B272" s="492" t="s">
        <v>301</v>
      </c>
      <c r="C272" s="493" t="s">
        <v>146</v>
      </c>
      <c r="D272" s="491" t="s">
        <v>311</v>
      </c>
      <c r="E272" s="493" t="s">
        <v>90</v>
      </c>
      <c r="F272" s="493" t="s">
        <v>17</v>
      </c>
      <c r="G272" s="494">
        <v>5.4</v>
      </c>
      <c r="H272" s="495" cm="1">
        <f t="array" aca="1" ref="H27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72" s="498" t="str">
        <f ca="1">IF(Inventarisatie[[#This Row],[Freq. Ma-Vr]]=0,0,IF(ISNUMBER(SEARCH("/",_xlfn.XLOOKUP(Inventarisatie[[#This Row],[Locatie]],Tabel2[Locatiecode],Tabel2[Basisfrequentie],0,0))),VLOOKUP("za",WkDagen[],YEAR(NOW())-2020,FALSE),""))</f>
        <v/>
      </c>
      <c r="J27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72" s="498" t="str">
        <f ca="1">IF(Inventarisatie[[#This Row],[Freq. Ma-Vr]]=0,0,IF(_xlfn.XLOOKUP(Inventarisatie[[#This Row],[Locatie]],Tabel2[Locatiecode],Tabel2[Basisfrequentie],0,0)=Locatieoverzicht!$F$47,VLOOKUP("fe",WkDagen[],YEAR(NOW())-2020,FALSE),""))</f>
        <v/>
      </c>
    </row>
    <row r="273" spans="1:11" x14ac:dyDescent="0.2">
      <c r="A273" s="491" t="s">
        <v>142</v>
      </c>
      <c r="B273" s="492" t="s">
        <v>301</v>
      </c>
      <c r="C273" s="493" t="s">
        <v>64</v>
      </c>
      <c r="D273" s="491" t="s">
        <v>312</v>
      </c>
      <c r="E273" s="493" t="s">
        <v>88</v>
      </c>
      <c r="F273" s="497" t="s">
        <v>17</v>
      </c>
      <c r="G273" s="494">
        <v>1.9</v>
      </c>
      <c r="H273" s="495" cm="1">
        <f t="array" aca="1" ref="H27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73" s="498" t="str">
        <f ca="1">IF(Inventarisatie[[#This Row],[Freq. Ma-Vr]]=0,0,IF(ISNUMBER(SEARCH("/",_xlfn.XLOOKUP(Inventarisatie[[#This Row],[Locatie]],Tabel2[Locatiecode],Tabel2[Basisfrequentie],0,0))),VLOOKUP("za",WkDagen[],YEAR(NOW())-2020,FALSE),""))</f>
        <v/>
      </c>
      <c r="J27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73" s="498" t="str">
        <f ca="1">IF(Inventarisatie[[#This Row],[Freq. Ma-Vr]]=0,0,IF(_xlfn.XLOOKUP(Inventarisatie[[#This Row],[Locatie]],Tabel2[Locatiecode],Tabel2[Basisfrequentie],0,0)=Locatieoverzicht!$F$47,VLOOKUP("fe",WkDagen[],YEAR(NOW())-2020,FALSE),""))</f>
        <v/>
      </c>
    </row>
    <row r="274" spans="1:11" x14ac:dyDescent="0.2">
      <c r="A274" s="491" t="s">
        <v>142</v>
      </c>
      <c r="B274" s="492" t="s">
        <v>301</v>
      </c>
      <c r="C274" s="493" t="s">
        <v>65</v>
      </c>
      <c r="D274" s="491" t="s">
        <v>308</v>
      </c>
      <c r="E274" s="493" t="s">
        <v>35</v>
      </c>
      <c r="F274" s="493" t="s">
        <v>6</v>
      </c>
      <c r="G274" s="494">
        <v>4.5999999999999996</v>
      </c>
      <c r="H274" s="495" cm="1">
        <f t="array" aca="1" ref="H27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74" s="498" t="str">
        <f ca="1">IF(Inventarisatie[[#This Row],[Freq. Ma-Vr]]=0,0,IF(ISNUMBER(SEARCH("/",_xlfn.XLOOKUP(Inventarisatie[[#This Row],[Locatie]],Tabel2[Locatiecode],Tabel2[Basisfrequentie],0,0))),VLOOKUP("za",WkDagen[],YEAR(NOW())-2020,FALSE),""))</f>
        <v/>
      </c>
      <c r="J27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74" s="498" t="str">
        <f ca="1">IF(Inventarisatie[[#This Row],[Freq. Ma-Vr]]=0,0,IF(_xlfn.XLOOKUP(Inventarisatie[[#This Row],[Locatie]],Tabel2[Locatiecode],Tabel2[Basisfrequentie],0,0)=Locatieoverzicht!$F$47,VLOOKUP("fe",WkDagen[],YEAR(NOW())-2020,FALSE),""))</f>
        <v/>
      </c>
    </row>
    <row r="275" spans="1:11" x14ac:dyDescent="0.2">
      <c r="A275" s="491" t="s">
        <v>142</v>
      </c>
      <c r="B275" s="492" t="s">
        <v>301</v>
      </c>
      <c r="C275" s="493" t="s">
        <v>66</v>
      </c>
      <c r="D275" s="491" t="s">
        <v>24</v>
      </c>
      <c r="E275" s="493" t="s">
        <v>24</v>
      </c>
      <c r="F275" s="497" t="s">
        <v>6</v>
      </c>
      <c r="G275" s="494">
        <v>53.6</v>
      </c>
      <c r="H275" s="495" cm="1">
        <f t="array" aca="1" ref="H27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75" s="498" t="str">
        <f ca="1">IF(Inventarisatie[[#This Row],[Freq. Ma-Vr]]=0,0,IF(ISNUMBER(SEARCH("/",_xlfn.XLOOKUP(Inventarisatie[[#This Row],[Locatie]],Tabel2[Locatiecode],Tabel2[Basisfrequentie],0,0))),VLOOKUP("za",WkDagen[],YEAR(NOW())-2020,FALSE),""))</f>
        <v/>
      </c>
      <c r="J27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75" s="498" t="str">
        <f ca="1">IF(Inventarisatie[[#This Row],[Freq. Ma-Vr]]=0,0,IF(_xlfn.XLOOKUP(Inventarisatie[[#This Row],[Locatie]],Tabel2[Locatiecode],Tabel2[Basisfrequentie],0,0)=Locatieoverzicht!$F$47,VLOOKUP("fe",WkDagen[],YEAR(NOW())-2020,FALSE),""))</f>
        <v/>
      </c>
    </row>
    <row r="276" spans="1:11" x14ac:dyDescent="0.2">
      <c r="A276" s="491" t="s">
        <v>142</v>
      </c>
      <c r="B276" s="492" t="s">
        <v>301</v>
      </c>
      <c r="C276" s="493" t="s">
        <v>67</v>
      </c>
      <c r="D276" s="491" t="s">
        <v>310</v>
      </c>
      <c r="E276" s="493" t="s">
        <v>5</v>
      </c>
      <c r="F276" s="493" t="s">
        <v>6</v>
      </c>
      <c r="G276" s="494">
        <v>19.7</v>
      </c>
      <c r="H276" s="495" cm="1">
        <f t="array" aca="1" ref="H27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76" s="498" t="str">
        <f ca="1">IF(Inventarisatie[[#This Row],[Freq. Ma-Vr]]=0,0,IF(ISNUMBER(SEARCH("/",_xlfn.XLOOKUP(Inventarisatie[[#This Row],[Locatie]],Tabel2[Locatiecode],Tabel2[Basisfrequentie],0,0))),VLOOKUP("za",WkDagen[],YEAR(NOW())-2020,FALSE),""))</f>
        <v/>
      </c>
      <c r="J27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76" s="498" t="str">
        <f ca="1">IF(Inventarisatie[[#This Row],[Freq. Ma-Vr]]=0,0,IF(_xlfn.XLOOKUP(Inventarisatie[[#This Row],[Locatie]],Tabel2[Locatiecode],Tabel2[Basisfrequentie],0,0)=Locatieoverzicht!$F$47,VLOOKUP("fe",WkDagen[],YEAR(NOW())-2020,FALSE),""))</f>
        <v/>
      </c>
    </row>
    <row r="277" spans="1:11" x14ac:dyDescent="0.2">
      <c r="A277" s="491" t="s">
        <v>142</v>
      </c>
      <c r="B277" s="492" t="s">
        <v>301</v>
      </c>
      <c r="C277" s="493" t="s">
        <v>68</v>
      </c>
      <c r="D277" s="491" t="s">
        <v>312</v>
      </c>
      <c r="E277" s="493" t="s">
        <v>21</v>
      </c>
      <c r="F277" s="497" t="s">
        <v>6</v>
      </c>
      <c r="G277" s="494">
        <v>9.6</v>
      </c>
      <c r="H277" s="495" cm="1">
        <f t="array" aca="1" ref="H27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77" s="498" t="str">
        <f ca="1">IF(Inventarisatie[[#This Row],[Freq. Ma-Vr]]=0,0,IF(ISNUMBER(SEARCH("/",_xlfn.XLOOKUP(Inventarisatie[[#This Row],[Locatie]],Tabel2[Locatiecode],Tabel2[Basisfrequentie],0,0))),VLOOKUP("za",WkDagen[],YEAR(NOW())-2020,FALSE),""))</f>
        <v/>
      </c>
      <c r="J27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77" s="498" t="str">
        <f ca="1">IF(Inventarisatie[[#This Row],[Freq. Ma-Vr]]=0,0,IF(_xlfn.XLOOKUP(Inventarisatie[[#This Row],[Locatie]],Tabel2[Locatiecode],Tabel2[Basisfrequentie],0,0)=Locatieoverzicht!$F$47,VLOOKUP("fe",WkDagen[],YEAR(NOW())-2020,FALSE),""))</f>
        <v/>
      </c>
    </row>
    <row r="278" spans="1:11" x14ac:dyDescent="0.2">
      <c r="A278" s="491" t="s">
        <v>142</v>
      </c>
      <c r="B278" s="492" t="s">
        <v>301</v>
      </c>
      <c r="C278" s="493" t="s">
        <v>72</v>
      </c>
      <c r="D278" s="491" t="s">
        <v>310</v>
      </c>
      <c r="E278" s="493" t="s">
        <v>5</v>
      </c>
      <c r="F278" s="493" t="s">
        <v>6</v>
      </c>
      <c r="G278" s="494">
        <v>26.8</v>
      </c>
      <c r="H278" s="495" cm="1">
        <f t="array" aca="1" ref="H27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78" s="498" t="str">
        <f ca="1">IF(Inventarisatie[[#This Row],[Freq. Ma-Vr]]=0,0,IF(ISNUMBER(SEARCH("/",_xlfn.XLOOKUP(Inventarisatie[[#This Row],[Locatie]],Tabel2[Locatiecode],Tabel2[Basisfrequentie],0,0))),VLOOKUP("za",WkDagen[],YEAR(NOW())-2020,FALSE),""))</f>
        <v/>
      </c>
      <c r="J27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78" s="498" t="str">
        <f ca="1">IF(Inventarisatie[[#This Row],[Freq. Ma-Vr]]=0,0,IF(_xlfn.XLOOKUP(Inventarisatie[[#This Row],[Locatie]],Tabel2[Locatiecode],Tabel2[Basisfrequentie],0,0)=Locatieoverzicht!$F$47,VLOOKUP("fe",WkDagen[],YEAR(NOW())-2020,FALSE),""))</f>
        <v/>
      </c>
    </row>
    <row r="279" spans="1:11" x14ac:dyDescent="0.2">
      <c r="A279" s="491" t="s">
        <v>142</v>
      </c>
      <c r="B279" s="492" t="s">
        <v>301</v>
      </c>
      <c r="C279" s="493" t="s">
        <v>69</v>
      </c>
      <c r="D279" s="491" t="s">
        <v>307</v>
      </c>
      <c r="E279" s="493" t="s">
        <v>26</v>
      </c>
      <c r="F279" s="497" t="s">
        <v>6</v>
      </c>
      <c r="G279" s="494">
        <v>18.100000000000001</v>
      </c>
      <c r="H279" s="495" cm="1">
        <f t="array" aca="1" ref="H27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79" s="498" t="str">
        <f ca="1">IF(Inventarisatie[[#This Row],[Freq. Ma-Vr]]=0,0,IF(ISNUMBER(SEARCH("/",_xlfn.XLOOKUP(Inventarisatie[[#This Row],[Locatie]],Tabel2[Locatiecode],Tabel2[Basisfrequentie],0,0))),VLOOKUP("za",WkDagen[],YEAR(NOW())-2020,FALSE),""))</f>
        <v/>
      </c>
      <c r="J27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79" s="498" t="str">
        <f ca="1">IF(Inventarisatie[[#This Row],[Freq. Ma-Vr]]=0,0,IF(_xlfn.XLOOKUP(Inventarisatie[[#This Row],[Locatie]],Tabel2[Locatiecode],Tabel2[Basisfrequentie],0,0)=Locatieoverzicht!$F$47,VLOOKUP("fe",WkDagen[],YEAR(NOW())-2020,FALSE),""))</f>
        <v/>
      </c>
    </row>
    <row r="280" spans="1:11" x14ac:dyDescent="0.2">
      <c r="A280" s="491" t="s">
        <v>142</v>
      </c>
      <c r="B280" s="492" t="s">
        <v>301</v>
      </c>
      <c r="C280" s="493" t="s">
        <v>95</v>
      </c>
      <c r="D280" s="491" t="s">
        <v>310</v>
      </c>
      <c r="E280" s="493" t="s">
        <v>5</v>
      </c>
      <c r="F280" s="493" t="s">
        <v>6</v>
      </c>
      <c r="G280" s="494">
        <v>18.100000000000001</v>
      </c>
      <c r="H280" s="495" cm="1">
        <f t="array" aca="1" ref="H28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80" s="498" t="str">
        <f ca="1">IF(Inventarisatie[[#This Row],[Freq. Ma-Vr]]=0,0,IF(ISNUMBER(SEARCH("/",_xlfn.XLOOKUP(Inventarisatie[[#This Row],[Locatie]],Tabel2[Locatiecode],Tabel2[Basisfrequentie],0,0))),VLOOKUP("za",WkDagen[],YEAR(NOW())-2020,FALSE),""))</f>
        <v/>
      </c>
      <c r="J28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80" s="498" t="str">
        <f ca="1">IF(Inventarisatie[[#This Row],[Freq. Ma-Vr]]=0,0,IF(_xlfn.XLOOKUP(Inventarisatie[[#This Row],[Locatie]],Tabel2[Locatiecode],Tabel2[Basisfrequentie],0,0)=Locatieoverzicht!$F$47,VLOOKUP("fe",WkDagen[],YEAR(NOW())-2020,FALSE),""))</f>
        <v/>
      </c>
    </row>
    <row r="281" spans="1:11" x14ac:dyDescent="0.2">
      <c r="A281" s="491" t="s">
        <v>142</v>
      </c>
      <c r="B281" s="492" t="s">
        <v>301</v>
      </c>
      <c r="C281" s="493" t="s">
        <v>73</v>
      </c>
      <c r="D281" s="491" t="s">
        <v>310</v>
      </c>
      <c r="E281" s="493" t="s">
        <v>5</v>
      </c>
      <c r="F281" s="497" t="s">
        <v>6</v>
      </c>
      <c r="G281" s="494">
        <v>17.5</v>
      </c>
      <c r="H281" s="495" cm="1">
        <f t="array" aca="1" ref="H28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81" s="498" t="str">
        <f ca="1">IF(Inventarisatie[[#This Row],[Freq. Ma-Vr]]=0,0,IF(ISNUMBER(SEARCH("/",_xlfn.XLOOKUP(Inventarisatie[[#This Row],[Locatie]],Tabel2[Locatiecode],Tabel2[Basisfrequentie],0,0))),VLOOKUP("za",WkDagen[],YEAR(NOW())-2020,FALSE),""))</f>
        <v/>
      </c>
      <c r="J28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81" s="498" t="str">
        <f ca="1">IF(Inventarisatie[[#This Row],[Freq. Ma-Vr]]=0,0,IF(_xlfn.XLOOKUP(Inventarisatie[[#This Row],[Locatie]],Tabel2[Locatiecode],Tabel2[Basisfrequentie],0,0)=Locatieoverzicht!$F$47,VLOOKUP("fe",WkDagen[],YEAR(NOW())-2020,FALSE),""))</f>
        <v/>
      </c>
    </row>
    <row r="282" spans="1:11" x14ac:dyDescent="0.2">
      <c r="A282" s="491" t="s">
        <v>142</v>
      </c>
      <c r="B282" s="492" t="s">
        <v>301</v>
      </c>
      <c r="C282" s="493" t="s">
        <v>84</v>
      </c>
      <c r="D282" s="491" t="s">
        <v>310</v>
      </c>
      <c r="E282" s="493" t="s">
        <v>5</v>
      </c>
      <c r="F282" s="493" t="s">
        <v>6</v>
      </c>
      <c r="G282" s="494">
        <v>9.6</v>
      </c>
      <c r="H282" s="495" cm="1">
        <f t="array" aca="1" ref="H28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82" s="498" t="str">
        <f ca="1">IF(Inventarisatie[[#This Row],[Freq. Ma-Vr]]=0,0,IF(ISNUMBER(SEARCH("/",_xlfn.XLOOKUP(Inventarisatie[[#This Row],[Locatie]],Tabel2[Locatiecode],Tabel2[Basisfrequentie],0,0))),VLOOKUP("za",WkDagen[],YEAR(NOW())-2020,FALSE),""))</f>
        <v/>
      </c>
      <c r="J28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82" s="498" t="str">
        <f ca="1">IF(Inventarisatie[[#This Row],[Freq. Ma-Vr]]=0,0,IF(_xlfn.XLOOKUP(Inventarisatie[[#This Row],[Locatie]],Tabel2[Locatiecode],Tabel2[Basisfrequentie],0,0)=Locatieoverzicht!$F$47,VLOOKUP("fe",WkDagen[],YEAR(NOW())-2020,FALSE),""))</f>
        <v/>
      </c>
    </row>
    <row r="283" spans="1:11" x14ac:dyDescent="0.2">
      <c r="A283" s="491" t="s">
        <v>147</v>
      </c>
      <c r="B283" s="492" t="s">
        <v>301</v>
      </c>
      <c r="C283" s="493" t="s">
        <v>60</v>
      </c>
      <c r="D283" s="491" t="s">
        <v>312</v>
      </c>
      <c r="E283" s="493" t="s">
        <v>41</v>
      </c>
      <c r="F283" s="493" t="s">
        <v>6</v>
      </c>
      <c r="G283" s="494">
        <v>27</v>
      </c>
      <c r="H283" s="495" cm="1">
        <f t="array" aca="1" ref="H28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83" s="498" t="str">
        <f ca="1">IF(Inventarisatie[[#This Row],[Freq. Ma-Vr]]=0,0,IF(ISNUMBER(SEARCH("/",_xlfn.XLOOKUP(Inventarisatie[[#This Row],[Locatie]],Tabel2[Locatiecode],Tabel2[Basisfrequentie],0,0))),VLOOKUP("za",WkDagen[],YEAR(NOW())-2020,FALSE),""))</f>
        <v/>
      </c>
      <c r="J28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83" s="498" t="str">
        <f ca="1">IF(Inventarisatie[[#This Row],[Freq. Ma-Vr]]=0,0,IF(_xlfn.XLOOKUP(Inventarisatie[[#This Row],[Locatie]],Tabel2[Locatiecode],Tabel2[Basisfrequentie],0,0)=Locatieoverzicht!$F$47,VLOOKUP("fe",WkDagen[],YEAR(NOW())-2020,FALSE),""))</f>
        <v/>
      </c>
    </row>
    <row r="284" spans="1:11" x14ac:dyDescent="0.2">
      <c r="A284" s="491" t="s">
        <v>147</v>
      </c>
      <c r="B284" s="492" t="s">
        <v>301</v>
      </c>
      <c r="C284" s="493" t="s">
        <v>67</v>
      </c>
      <c r="D284" s="491" t="s">
        <v>312</v>
      </c>
      <c r="E284" s="493" t="s">
        <v>45</v>
      </c>
      <c r="F284" s="493" t="s">
        <v>6</v>
      </c>
      <c r="G284" s="494">
        <v>8.1999999999999993</v>
      </c>
      <c r="H284" s="495" cm="1">
        <f t="array" aca="1" ref="H28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84" s="498" t="str">
        <f ca="1">IF(Inventarisatie[[#This Row],[Freq. Ma-Vr]]=0,0,IF(ISNUMBER(SEARCH("/",_xlfn.XLOOKUP(Inventarisatie[[#This Row],[Locatie]],Tabel2[Locatiecode],Tabel2[Basisfrequentie],0,0))),VLOOKUP("za",WkDagen[],YEAR(NOW())-2020,FALSE),""))</f>
        <v/>
      </c>
      <c r="J28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84" s="498" t="str">
        <f ca="1">IF(Inventarisatie[[#This Row],[Freq. Ma-Vr]]=0,0,IF(_xlfn.XLOOKUP(Inventarisatie[[#This Row],[Locatie]],Tabel2[Locatiecode],Tabel2[Basisfrequentie],0,0)=Locatieoverzicht!$F$47,VLOOKUP("fe",WkDagen[],YEAR(NOW())-2020,FALSE),""))</f>
        <v/>
      </c>
    </row>
    <row r="285" spans="1:11" x14ac:dyDescent="0.2">
      <c r="A285" s="493" t="s">
        <v>147</v>
      </c>
      <c r="B285" s="492" t="s">
        <v>301</v>
      </c>
      <c r="C285" s="493" t="s">
        <v>68</v>
      </c>
      <c r="D285" s="491" t="s">
        <v>311</v>
      </c>
      <c r="E285" s="493" t="s">
        <v>16</v>
      </c>
      <c r="F285" s="493" t="s">
        <v>17</v>
      </c>
      <c r="G285" s="494">
        <v>3.9</v>
      </c>
      <c r="H285" s="495" cm="1">
        <f t="array" aca="1" ref="H28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85" s="498" t="str">
        <f ca="1">IF(Inventarisatie[[#This Row],[Freq. Ma-Vr]]=0,0,IF(ISNUMBER(SEARCH("/",_xlfn.XLOOKUP(Inventarisatie[[#This Row],[Locatie]],Tabel2[Locatiecode],Tabel2[Basisfrequentie],0,0))),VLOOKUP("za",WkDagen[],YEAR(NOW())-2020,FALSE),""))</f>
        <v/>
      </c>
      <c r="J28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85" s="498" t="str">
        <f ca="1">IF(Inventarisatie[[#This Row],[Freq. Ma-Vr]]=0,0,IF(_xlfn.XLOOKUP(Inventarisatie[[#This Row],[Locatie]],Tabel2[Locatiecode],Tabel2[Basisfrequentie],0,0)=Locatieoverzicht!$F$47,VLOOKUP("fe",WkDagen[],YEAR(NOW())-2020,FALSE),""))</f>
        <v/>
      </c>
    </row>
    <row r="286" spans="1:11" x14ac:dyDescent="0.2">
      <c r="A286" s="491" t="s">
        <v>147</v>
      </c>
      <c r="B286" s="492" t="s">
        <v>301</v>
      </c>
      <c r="C286" s="493" t="s">
        <v>72</v>
      </c>
      <c r="D286" s="491" t="s">
        <v>312</v>
      </c>
      <c r="E286" s="493" t="s">
        <v>43</v>
      </c>
      <c r="F286" s="493" t="s">
        <v>96</v>
      </c>
      <c r="G286" s="494">
        <v>0</v>
      </c>
      <c r="H286" s="495" cm="1">
        <f t="array" aca="1" ref="H28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86" s="498" t="str">
        <f ca="1">IF(Inventarisatie[[#This Row],[Freq. Ma-Vr]]=0,0,IF(ISNUMBER(SEARCH("/",_xlfn.XLOOKUP(Inventarisatie[[#This Row],[Locatie]],Tabel2[Locatiecode],Tabel2[Basisfrequentie],0,0))),VLOOKUP("za",WkDagen[],YEAR(NOW())-2020,FALSE),""))</f>
        <v/>
      </c>
      <c r="J28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86" s="498" t="str">
        <f ca="1">IF(Inventarisatie[[#This Row],[Freq. Ma-Vr]]=0,0,IF(_xlfn.XLOOKUP(Inventarisatie[[#This Row],[Locatie]],Tabel2[Locatiecode],Tabel2[Basisfrequentie],0,0)=Locatieoverzicht!$F$47,VLOOKUP("fe",WkDagen[],YEAR(NOW())-2020,FALSE),""))</f>
        <v/>
      </c>
    </row>
    <row r="287" spans="1:11" x14ac:dyDescent="0.2">
      <c r="A287" s="493" t="s">
        <v>147</v>
      </c>
      <c r="B287" s="492" t="s">
        <v>301</v>
      </c>
      <c r="C287" s="493" t="s">
        <v>69</v>
      </c>
      <c r="D287" s="491" t="s">
        <v>311</v>
      </c>
      <c r="E287" s="493" t="s">
        <v>16</v>
      </c>
      <c r="F287" s="493" t="s">
        <v>17</v>
      </c>
      <c r="G287" s="494">
        <v>3.2</v>
      </c>
      <c r="H287" s="495" cm="1">
        <f t="array" aca="1" ref="H28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87" s="498" t="str">
        <f ca="1">IF(Inventarisatie[[#This Row],[Freq. Ma-Vr]]=0,0,IF(ISNUMBER(SEARCH("/",_xlfn.XLOOKUP(Inventarisatie[[#This Row],[Locatie]],Tabel2[Locatiecode],Tabel2[Basisfrequentie],0,0))),VLOOKUP("za",WkDagen[],YEAR(NOW())-2020,FALSE),""))</f>
        <v/>
      </c>
      <c r="J28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87" s="498" t="str">
        <f ca="1">IF(Inventarisatie[[#This Row],[Freq. Ma-Vr]]=0,0,IF(_xlfn.XLOOKUP(Inventarisatie[[#This Row],[Locatie]],Tabel2[Locatiecode],Tabel2[Basisfrequentie],0,0)=Locatieoverzicht!$F$47,VLOOKUP("fe",WkDagen[],YEAR(NOW())-2020,FALSE),""))</f>
        <v/>
      </c>
    </row>
    <row r="288" spans="1:11" x14ac:dyDescent="0.2">
      <c r="A288" s="491" t="s">
        <v>147</v>
      </c>
      <c r="B288" s="492" t="s">
        <v>301</v>
      </c>
      <c r="C288" s="493" t="s">
        <v>95</v>
      </c>
      <c r="D288" s="491" t="s">
        <v>311</v>
      </c>
      <c r="E288" s="493" t="s">
        <v>16</v>
      </c>
      <c r="F288" s="493" t="s">
        <v>17</v>
      </c>
      <c r="G288" s="494">
        <v>3.2</v>
      </c>
      <c r="H288" s="495" cm="1">
        <f t="array" aca="1" ref="H28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88" s="498" t="str">
        <f ca="1">IF(Inventarisatie[[#This Row],[Freq. Ma-Vr]]=0,0,IF(ISNUMBER(SEARCH("/",_xlfn.XLOOKUP(Inventarisatie[[#This Row],[Locatie]],Tabel2[Locatiecode],Tabel2[Basisfrequentie],0,0))),VLOOKUP("za",WkDagen[],YEAR(NOW())-2020,FALSE),""))</f>
        <v/>
      </c>
      <c r="J28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88" s="498" t="str">
        <f ca="1">IF(Inventarisatie[[#This Row],[Freq. Ma-Vr]]=0,0,IF(_xlfn.XLOOKUP(Inventarisatie[[#This Row],[Locatie]],Tabel2[Locatiecode],Tabel2[Basisfrequentie],0,0)=Locatieoverzicht!$F$47,VLOOKUP("fe",WkDagen[],YEAR(NOW())-2020,FALSE),""))</f>
        <v/>
      </c>
    </row>
    <row r="289" spans="1:11" x14ac:dyDescent="0.2">
      <c r="A289" s="493" t="s">
        <v>147</v>
      </c>
      <c r="B289" s="492" t="s">
        <v>301</v>
      </c>
      <c r="C289" s="493" t="s">
        <v>73</v>
      </c>
      <c r="D289" s="491" t="s">
        <v>311</v>
      </c>
      <c r="E289" s="493" t="s">
        <v>16</v>
      </c>
      <c r="F289" s="493" t="s">
        <v>17</v>
      </c>
      <c r="G289" s="494">
        <v>3.2</v>
      </c>
      <c r="H289" s="495" cm="1">
        <f t="array" aca="1" ref="H28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89" s="498" t="str">
        <f ca="1">IF(Inventarisatie[[#This Row],[Freq. Ma-Vr]]=0,0,IF(ISNUMBER(SEARCH("/",_xlfn.XLOOKUP(Inventarisatie[[#This Row],[Locatie]],Tabel2[Locatiecode],Tabel2[Basisfrequentie],0,0))),VLOOKUP("za",WkDagen[],YEAR(NOW())-2020,FALSE),""))</f>
        <v/>
      </c>
      <c r="J28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89" s="498" t="str">
        <f ca="1">IF(Inventarisatie[[#This Row],[Freq. Ma-Vr]]=0,0,IF(_xlfn.XLOOKUP(Inventarisatie[[#This Row],[Locatie]],Tabel2[Locatiecode],Tabel2[Basisfrequentie],0,0)=Locatieoverzicht!$F$47,VLOOKUP("fe",WkDagen[],YEAR(NOW())-2020,FALSE),""))</f>
        <v/>
      </c>
    </row>
    <row r="290" spans="1:11" x14ac:dyDescent="0.2">
      <c r="A290" s="491" t="s">
        <v>147</v>
      </c>
      <c r="B290" s="492" t="s">
        <v>301</v>
      </c>
      <c r="C290" s="493" t="s">
        <v>71</v>
      </c>
      <c r="D290" s="491" t="s">
        <v>311</v>
      </c>
      <c r="E290" s="493" t="s">
        <v>16</v>
      </c>
      <c r="F290" s="493" t="s">
        <v>17</v>
      </c>
      <c r="G290" s="494">
        <v>3.2</v>
      </c>
      <c r="H290" s="495" cm="1">
        <f t="array" aca="1" ref="H29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90" s="498" t="str">
        <f ca="1">IF(Inventarisatie[[#This Row],[Freq. Ma-Vr]]=0,0,IF(ISNUMBER(SEARCH("/",_xlfn.XLOOKUP(Inventarisatie[[#This Row],[Locatie]],Tabel2[Locatiecode],Tabel2[Basisfrequentie],0,0))),VLOOKUP("za",WkDagen[],YEAR(NOW())-2020,FALSE),""))</f>
        <v/>
      </c>
      <c r="J29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90" s="498" t="str">
        <f ca="1">IF(Inventarisatie[[#This Row],[Freq. Ma-Vr]]=0,0,IF(_xlfn.XLOOKUP(Inventarisatie[[#This Row],[Locatie]],Tabel2[Locatiecode],Tabel2[Basisfrequentie],0,0)=Locatieoverzicht!$F$47,VLOOKUP("fe",WkDagen[],YEAR(NOW())-2020,FALSE),""))</f>
        <v/>
      </c>
    </row>
    <row r="291" spans="1:11" x14ac:dyDescent="0.2">
      <c r="A291" s="493" t="s">
        <v>147</v>
      </c>
      <c r="B291" s="492" t="s">
        <v>301</v>
      </c>
      <c r="C291" s="493" t="s">
        <v>82</v>
      </c>
      <c r="D291" s="491" t="s">
        <v>312</v>
      </c>
      <c r="E291" s="493" t="s">
        <v>45</v>
      </c>
      <c r="F291" s="493" t="s">
        <v>17</v>
      </c>
      <c r="G291" s="494">
        <v>0</v>
      </c>
      <c r="H291" s="495" cm="1">
        <f t="array" aca="1" ref="H29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91" s="498" t="str">
        <f ca="1">IF(Inventarisatie[[#This Row],[Freq. Ma-Vr]]=0,0,IF(ISNUMBER(SEARCH("/",_xlfn.XLOOKUP(Inventarisatie[[#This Row],[Locatie]],Tabel2[Locatiecode],Tabel2[Basisfrequentie],0,0))),VLOOKUP("za",WkDagen[],YEAR(NOW())-2020,FALSE),""))</f>
        <v/>
      </c>
      <c r="J29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91" s="498" t="str">
        <f ca="1">IF(Inventarisatie[[#This Row],[Freq. Ma-Vr]]=0,0,IF(_xlfn.XLOOKUP(Inventarisatie[[#This Row],[Locatie]],Tabel2[Locatiecode],Tabel2[Basisfrequentie],0,0)=Locatieoverzicht!$F$47,VLOOKUP("fe",WkDagen[],YEAR(NOW())-2020,FALSE),""))</f>
        <v/>
      </c>
    </row>
    <row r="292" spans="1:11" x14ac:dyDescent="0.2">
      <c r="A292" s="491" t="s">
        <v>147</v>
      </c>
      <c r="B292" s="492" t="s">
        <v>301</v>
      </c>
      <c r="C292" s="493" t="s">
        <v>84</v>
      </c>
      <c r="D292" s="491" t="s">
        <v>312</v>
      </c>
      <c r="E292" s="493" t="s">
        <v>41</v>
      </c>
      <c r="F292" s="493" t="s">
        <v>6</v>
      </c>
      <c r="G292" s="494">
        <v>70.2</v>
      </c>
      <c r="H292" s="495" cm="1">
        <f t="array" aca="1" ref="H29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92" s="498" t="str">
        <f ca="1">IF(Inventarisatie[[#This Row],[Freq. Ma-Vr]]=0,0,IF(ISNUMBER(SEARCH("/",_xlfn.XLOOKUP(Inventarisatie[[#This Row],[Locatie]],Tabel2[Locatiecode],Tabel2[Basisfrequentie],0,0))),VLOOKUP("za",WkDagen[],YEAR(NOW())-2020,FALSE),""))</f>
        <v/>
      </c>
      <c r="J29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92" s="498" t="str">
        <f ca="1">IF(Inventarisatie[[#This Row],[Freq. Ma-Vr]]=0,0,IF(_xlfn.XLOOKUP(Inventarisatie[[#This Row],[Locatie]],Tabel2[Locatiecode],Tabel2[Basisfrequentie],0,0)=Locatieoverzicht!$F$47,VLOOKUP("fe",WkDagen[],YEAR(NOW())-2020,FALSE),""))</f>
        <v/>
      </c>
    </row>
    <row r="293" spans="1:11" x14ac:dyDescent="0.2">
      <c r="A293" s="493" t="s">
        <v>147</v>
      </c>
      <c r="B293" s="492" t="s">
        <v>301</v>
      </c>
      <c r="C293" s="493" t="s">
        <v>89</v>
      </c>
      <c r="D293" s="491" t="s">
        <v>24</v>
      </c>
      <c r="E293" s="493" t="s">
        <v>24</v>
      </c>
      <c r="F293" s="493" t="s">
        <v>6</v>
      </c>
      <c r="G293" s="494">
        <v>46</v>
      </c>
      <c r="H293" s="495" cm="1">
        <f t="array" aca="1" ref="H29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93" s="498" t="str">
        <f ca="1">IF(Inventarisatie[[#This Row],[Freq. Ma-Vr]]=0,0,IF(ISNUMBER(SEARCH("/",_xlfn.XLOOKUP(Inventarisatie[[#This Row],[Locatie]],Tabel2[Locatiecode],Tabel2[Basisfrequentie],0,0))),VLOOKUP("za",WkDagen[],YEAR(NOW())-2020,FALSE),""))</f>
        <v/>
      </c>
      <c r="J29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93" s="498" t="str">
        <f ca="1">IF(Inventarisatie[[#This Row],[Freq. Ma-Vr]]=0,0,IF(_xlfn.XLOOKUP(Inventarisatie[[#This Row],[Locatie]],Tabel2[Locatiecode],Tabel2[Basisfrequentie],0,0)=Locatieoverzicht!$F$47,VLOOKUP("fe",WkDagen[],YEAR(NOW())-2020,FALSE),""))</f>
        <v/>
      </c>
    </row>
    <row r="294" spans="1:11" x14ac:dyDescent="0.2">
      <c r="A294" s="491" t="s">
        <v>147</v>
      </c>
      <c r="B294" s="492" t="s">
        <v>301</v>
      </c>
      <c r="C294" s="493" t="s">
        <v>87</v>
      </c>
      <c r="D294" s="491" t="s">
        <v>310</v>
      </c>
      <c r="E294" s="493" t="s">
        <v>5</v>
      </c>
      <c r="F294" s="493" t="s">
        <v>6</v>
      </c>
      <c r="G294" s="494">
        <v>18</v>
      </c>
      <c r="H294" s="495" cm="1">
        <f t="array" aca="1" ref="H29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94" s="498" t="str">
        <f ca="1">IF(Inventarisatie[[#This Row],[Freq. Ma-Vr]]=0,0,IF(ISNUMBER(SEARCH("/",_xlfn.XLOOKUP(Inventarisatie[[#This Row],[Locatie]],Tabel2[Locatiecode],Tabel2[Basisfrequentie],0,0))),VLOOKUP("za",WkDagen[],YEAR(NOW())-2020,FALSE),""))</f>
        <v/>
      </c>
      <c r="J29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94" s="498" t="str">
        <f ca="1">IF(Inventarisatie[[#This Row],[Freq. Ma-Vr]]=0,0,IF(_xlfn.XLOOKUP(Inventarisatie[[#This Row],[Locatie]],Tabel2[Locatiecode],Tabel2[Basisfrequentie],0,0)=Locatieoverzicht!$F$47,VLOOKUP("fe",WkDagen[],YEAR(NOW())-2020,FALSE),""))</f>
        <v/>
      </c>
    </row>
    <row r="295" spans="1:11" x14ac:dyDescent="0.2">
      <c r="A295" s="493" t="s">
        <v>147</v>
      </c>
      <c r="B295" s="492" t="s">
        <v>301</v>
      </c>
      <c r="C295" s="493" t="s">
        <v>86</v>
      </c>
      <c r="D295" s="491" t="s">
        <v>310</v>
      </c>
      <c r="E295" s="493" t="s">
        <v>5</v>
      </c>
      <c r="F295" s="493" t="s">
        <v>6</v>
      </c>
      <c r="G295" s="494">
        <v>18</v>
      </c>
      <c r="H295" s="495" cm="1">
        <f t="array" aca="1" ref="H29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95" s="498" t="str">
        <f ca="1">IF(Inventarisatie[[#This Row],[Freq. Ma-Vr]]=0,0,IF(ISNUMBER(SEARCH("/",_xlfn.XLOOKUP(Inventarisatie[[#This Row],[Locatie]],Tabel2[Locatiecode],Tabel2[Basisfrequentie],0,0))),VLOOKUP("za",WkDagen[],YEAR(NOW())-2020,FALSE),""))</f>
        <v/>
      </c>
      <c r="J29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95" s="498" t="str">
        <f ca="1">IF(Inventarisatie[[#This Row],[Freq. Ma-Vr]]=0,0,IF(_xlfn.XLOOKUP(Inventarisatie[[#This Row],[Locatie]],Tabel2[Locatiecode],Tabel2[Basisfrequentie],0,0)=Locatieoverzicht!$F$47,VLOOKUP("fe",WkDagen[],YEAR(NOW())-2020,FALSE),""))</f>
        <v/>
      </c>
    </row>
    <row r="296" spans="1:11" x14ac:dyDescent="0.2">
      <c r="A296" s="491" t="s">
        <v>147</v>
      </c>
      <c r="B296" s="492" t="s">
        <v>301</v>
      </c>
      <c r="C296" s="493" t="s">
        <v>85</v>
      </c>
      <c r="D296" s="491" t="s">
        <v>310</v>
      </c>
      <c r="E296" s="493" t="s">
        <v>5</v>
      </c>
      <c r="F296" s="493" t="s">
        <v>6</v>
      </c>
      <c r="G296" s="494">
        <v>18</v>
      </c>
      <c r="H296" s="495" cm="1">
        <f t="array" aca="1" ref="H29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96" s="498" t="str">
        <f ca="1">IF(Inventarisatie[[#This Row],[Freq. Ma-Vr]]=0,0,IF(ISNUMBER(SEARCH("/",_xlfn.XLOOKUP(Inventarisatie[[#This Row],[Locatie]],Tabel2[Locatiecode],Tabel2[Basisfrequentie],0,0))),VLOOKUP("za",WkDagen[],YEAR(NOW())-2020,FALSE),""))</f>
        <v/>
      </c>
      <c r="J29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96" s="498" t="str">
        <f ca="1">IF(Inventarisatie[[#This Row],[Freq. Ma-Vr]]=0,0,IF(_xlfn.XLOOKUP(Inventarisatie[[#This Row],[Locatie]],Tabel2[Locatiecode],Tabel2[Basisfrequentie],0,0)=Locatieoverzicht!$F$47,VLOOKUP("fe",WkDagen[],YEAR(NOW())-2020,FALSE),""))</f>
        <v/>
      </c>
    </row>
    <row r="297" spans="1:11" x14ac:dyDescent="0.2">
      <c r="A297" s="493" t="s">
        <v>147</v>
      </c>
      <c r="B297" s="492" t="s">
        <v>301</v>
      </c>
      <c r="C297" s="493" t="s">
        <v>148</v>
      </c>
      <c r="D297" s="491" t="s">
        <v>310</v>
      </c>
      <c r="E297" s="493" t="s">
        <v>5</v>
      </c>
      <c r="F297" s="493" t="s">
        <v>6</v>
      </c>
      <c r="G297" s="494">
        <v>18</v>
      </c>
      <c r="H297" s="495" cm="1">
        <f t="array" aca="1" ref="H29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97" s="498" t="str">
        <f ca="1">IF(Inventarisatie[[#This Row],[Freq. Ma-Vr]]=0,0,IF(ISNUMBER(SEARCH("/",_xlfn.XLOOKUP(Inventarisatie[[#This Row],[Locatie]],Tabel2[Locatiecode],Tabel2[Basisfrequentie],0,0))),VLOOKUP("za",WkDagen[],YEAR(NOW())-2020,FALSE),""))</f>
        <v/>
      </c>
      <c r="J29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97" s="498" t="str">
        <f ca="1">IF(Inventarisatie[[#This Row],[Freq. Ma-Vr]]=0,0,IF(_xlfn.XLOOKUP(Inventarisatie[[#This Row],[Locatie]],Tabel2[Locatiecode],Tabel2[Basisfrequentie],0,0)=Locatieoverzicht!$F$47,VLOOKUP("fe",WkDagen[],YEAR(NOW())-2020,FALSE),""))</f>
        <v/>
      </c>
    </row>
    <row r="298" spans="1:11" x14ac:dyDescent="0.2">
      <c r="A298" s="491" t="s">
        <v>147</v>
      </c>
      <c r="B298" s="492" t="s">
        <v>301</v>
      </c>
      <c r="C298" s="493" t="s">
        <v>91</v>
      </c>
      <c r="D298" s="491" t="s">
        <v>310</v>
      </c>
      <c r="E298" s="493" t="s">
        <v>5</v>
      </c>
      <c r="F298" s="493" t="s">
        <v>6</v>
      </c>
      <c r="G298" s="494">
        <v>18</v>
      </c>
      <c r="H298" s="495" cm="1">
        <f t="array" aca="1" ref="H29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98" s="498" t="str">
        <f ca="1">IF(Inventarisatie[[#This Row],[Freq. Ma-Vr]]=0,0,IF(ISNUMBER(SEARCH("/",_xlfn.XLOOKUP(Inventarisatie[[#This Row],[Locatie]],Tabel2[Locatiecode],Tabel2[Basisfrequentie],0,0))),VLOOKUP("za",WkDagen[],YEAR(NOW())-2020,FALSE),""))</f>
        <v/>
      </c>
      <c r="J29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98" s="498" t="str">
        <f ca="1">IF(Inventarisatie[[#This Row],[Freq. Ma-Vr]]=0,0,IF(_xlfn.XLOOKUP(Inventarisatie[[#This Row],[Locatie]],Tabel2[Locatiecode],Tabel2[Basisfrequentie],0,0)=Locatieoverzicht!$F$47,VLOOKUP("fe",WkDagen[],YEAR(NOW())-2020,FALSE),""))</f>
        <v/>
      </c>
    </row>
    <row r="299" spans="1:11" x14ac:dyDescent="0.2">
      <c r="A299" s="493" t="s">
        <v>147</v>
      </c>
      <c r="B299" s="492" t="s">
        <v>301</v>
      </c>
      <c r="C299" s="493" t="s">
        <v>92</v>
      </c>
      <c r="D299" s="491" t="s">
        <v>310</v>
      </c>
      <c r="E299" s="493" t="s">
        <v>5</v>
      </c>
      <c r="F299" s="493" t="s">
        <v>6</v>
      </c>
      <c r="G299" s="494">
        <v>18</v>
      </c>
      <c r="H299" s="495" cm="1">
        <f t="array" aca="1" ref="H29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299" s="498" t="str">
        <f ca="1">IF(Inventarisatie[[#This Row],[Freq. Ma-Vr]]=0,0,IF(ISNUMBER(SEARCH("/",_xlfn.XLOOKUP(Inventarisatie[[#This Row],[Locatie]],Tabel2[Locatiecode],Tabel2[Basisfrequentie],0,0))),VLOOKUP("za",WkDagen[],YEAR(NOW())-2020,FALSE),""))</f>
        <v/>
      </c>
      <c r="J29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299" s="498" t="str">
        <f ca="1">IF(Inventarisatie[[#This Row],[Freq. Ma-Vr]]=0,0,IF(_xlfn.XLOOKUP(Inventarisatie[[#This Row],[Locatie]],Tabel2[Locatiecode],Tabel2[Basisfrequentie],0,0)=Locatieoverzicht!$F$47,VLOOKUP("fe",WkDagen[],YEAR(NOW())-2020,FALSE),""))</f>
        <v/>
      </c>
    </row>
    <row r="300" spans="1:11" x14ac:dyDescent="0.2">
      <c r="A300" s="491" t="s">
        <v>147</v>
      </c>
      <c r="B300" s="492" t="s">
        <v>301</v>
      </c>
      <c r="C300" s="493" t="s">
        <v>149</v>
      </c>
      <c r="D300" s="491" t="s">
        <v>310</v>
      </c>
      <c r="E300" s="493" t="s">
        <v>5</v>
      </c>
      <c r="F300" s="493" t="s">
        <v>6</v>
      </c>
      <c r="G300" s="494">
        <v>22.2</v>
      </c>
      <c r="H300" s="495" cm="1">
        <f t="array" aca="1" ref="H30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00" s="498" t="str">
        <f ca="1">IF(Inventarisatie[[#This Row],[Freq. Ma-Vr]]=0,0,IF(ISNUMBER(SEARCH("/",_xlfn.XLOOKUP(Inventarisatie[[#This Row],[Locatie]],Tabel2[Locatiecode],Tabel2[Basisfrequentie],0,0))),VLOOKUP("za",WkDagen[],YEAR(NOW())-2020,FALSE),""))</f>
        <v/>
      </c>
      <c r="J30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00" s="498" t="str">
        <f ca="1">IF(Inventarisatie[[#This Row],[Freq. Ma-Vr]]=0,0,IF(_xlfn.XLOOKUP(Inventarisatie[[#This Row],[Locatie]],Tabel2[Locatiecode],Tabel2[Basisfrequentie],0,0)=Locatieoverzicht!$F$47,VLOOKUP("fe",WkDagen[],YEAR(NOW())-2020,FALSE),""))</f>
        <v/>
      </c>
    </row>
    <row r="301" spans="1:11" x14ac:dyDescent="0.2">
      <c r="A301" s="493" t="s">
        <v>147</v>
      </c>
      <c r="B301" s="492" t="s">
        <v>301</v>
      </c>
      <c r="C301" s="493" t="s">
        <v>150</v>
      </c>
      <c r="D301" s="491" t="s">
        <v>307</v>
      </c>
      <c r="E301" s="493" t="s">
        <v>40</v>
      </c>
      <c r="F301" s="497" t="s">
        <v>39</v>
      </c>
      <c r="G301" s="494">
        <v>30.5</v>
      </c>
      <c r="H301" s="495" cm="1">
        <f t="array" aca="1" ref="H30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01" s="498" t="str">
        <f ca="1">IF(Inventarisatie[[#This Row],[Freq. Ma-Vr]]=0,0,IF(ISNUMBER(SEARCH("/",_xlfn.XLOOKUP(Inventarisatie[[#This Row],[Locatie]],Tabel2[Locatiecode],Tabel2[Basisfrequentie],0,0))),VLOOKUP("za",WkDagen[],YEAR(NOW())-2020,FALSE),""))</f>
        <v/>
      </c>
      <c r="J30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01" s="498" t="str">
        <f ca="1">IF(Inventarisatie[[#This Row],[Freq. Ma-Vr]]=0,0,IF(_xlfn.XLOOKUP(Inventarisatie[[#This Row],[Locatie]],Tabel2[Locatiecode],Tabel2[Basisfrequentie],0,0)=Locatieoverzicht!$F$47,VLOOKUP("fe",WkDagen[],YEAR(NOW())-2020,FALSE),""))</f>
        <v/>
      </c>
    </row>
    <row r="302" spans="1:11" x14ac:dyDescent="0.2">
      <c r="A302" s="491" t="s">
        <v>147</v>
      </c>
      <c r="B302" s="492" t="s">
        <v>301</v>
      </c>
      <c r="C302" s="493" t="s">
        <v>151</v>
      </c>
      <c r="D302" s="491" t="s">
        <v>307</v>
      </c>
      <c r="E302" s="493" t="s">
        <v>40</v>
      </c>
      <c r="F302" s="493" t="s">
        <v>6</v>
      </c>
      <c r="G302" s="494">
        <v>12.9</v>
      </c>
      <c r="H302" s="495" cm="1">
        <f t="array" aca="1" ref="H30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02" s="498" t="str">
        <f ca="1">IF(Inventarisatie[[#This Row],[Freq. Ma-Vr]]=0,0,IF(ISNUMBER(SEARCH("/",_xlfn.XLOOKUP(Inventarisatie[[#This Row],[Locatie]],Tabel2[Locatiecode],Tabel2[Basisfrequentie],0,0))),VLOOKUP("za",WkDagen[],YEAR(NOW())-2020,FALSE),""))</f>
        <v/>
      </c>
      <c r="J30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02" s="498" t="str">
        <f ca="1">IF(Inventarisatie[[#This Row],[Freq. Ma-Vr]]=0,0,IF(_xlfn.XLOOKUP(Inventarisatie[[#This Row],[Locatie]],Tabel2[Locatiecode],Tabel2[Basisfrequentie],0,0)=Locatieoverzicht!$F$47,VLOOKUP("fe",WkDagen[],YEAR(NOW())-2020,FALSE),""))</f>
        <v/>
      </c>
    </row>
    <row r="303" spans="1:11" x14ac:dyDescent="0.2">
      <c r="A303" s="493" t="s">
        <v>147</v>
      </c>
      <c r="B303" s="492" t="s">
        <v>301</v>
      </c>
      <c r="C303" s="493" t="s">
        <v>152</v>
      </c>
      <c r="D303" s="491" t="s">
        <v>310</v>
      </c>
      <c r="E303" s="493" t="s">
        <v>19</v>
      </c>
      <c r="F303" s="493" t="s">
        <v>6</v>
      </c>
      <c r="G303" s="494">
        <v>12</v>
      </c>
      <c r="H303" s="495" cm="1">
        <f t="array" aca="1" ref="H30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03" s="498" t="str">
        <f ca="1">IF(Inventarisatie[[#This Row],[Freq. Ma-Vr]]=0,0,IF(ISNUMBER(SEARCH("/",_xlfn.XLOOKUP(Inventarisatie[[#This Row],[Locatie]],Tabel2[Locatiecode],Tabel2[Basisfrequentie],0,0))),VLOOKUP("za",WkDagen[],YEAR(NOW())-2020,FALSE),""))</f>
        <v/>
      </c>
      <c r="J30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03" s="498" t="str">
        <f ca="1">IF(Inventarisatie[[#This Row],[Freq. Ma-Vr]]=0,0,IF(_xlfn.XLOOKUP(Inventarisatie[[#This Row],[Locatie]],Tabel2[Locatiecode],Tabel2[Basisfrequentie],0,0)=Locatieoverzicht!$F$47,VLOOKUP("fe",WkDagen[],YEAR(NOW())-2020,FALSE),""))</f>
        <v/>
      </c>
    </row>
    <row r="304" spans="1:11" x14ac:dyDescent="0.2">
      <c r="A304" s="491" t="s">
        <v>147</v>
      </c>
      <c r="B304" s="492" t="s">
        <v>301</v>
      </c>
      <c r="C304" s="493" t="s">
        <v>153</v>
      </c>
      <c r="D304" s="491" t="s">
        <v>312</v>
      </c>
      <c r="E304" s="493" t="s">
        <v>41</v>
      </c>
      <c r="F304" s="493" t="s">
        <v>6</v>
      </c>
      <c r="G304" s="494">
        <v>9</v>
      </c>
      <c r="H304" s="495" cm="1">
        <f t="array" aca="1" ref="H30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04" s="498" t="str">
        <f ca="1">IF(Inventarisatie[[#This Row],[Freq. Ma-Vr]]=0,0,IF(ISNUMBER(SEARCH("/",_xlfn.XLOOKUP(Inventarisatie[[#This Row],[Locatie]],Tabel2[Locatiecode],Tabel2[Basisfrequentie],0,0))),VLOOKUP("za",WkDagen[],YEAR(NOW())-2020,FALSE),""))</f>
        <v/>
      </c>
      <c r="J30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04" s="498" t="str">
        <f ca="1">IF(Inventarisatie[[#This Row],[Freq. Ma-Vr]]=0,0,IF(_xlfn.XLOOKUP(Inventarisatie[[#This Row],[Locatie]],Tabel2[Locatiecode],Tabel2[Basisfrequentie],0,0)=Locatieoverzicht!$F$47,VLOOKUP("fe",WkDagen[],YEAR(NOW())-2020,FALSE),""))</f>
        <v/>
      </c>
    </row>
    <row r="305" spans="1:11" x14ac:dyDescent="0.2">
      <c r="A305" s="493" t="s">
        <v>147</v>
      </c>
      <c r="B305" s="492" t="s">
        <v>301</v>
      </c>
      <c r="C305" s="493" t="s">
        <v>154</v>
      </c>
      <c r="D305" s="491" t="s">
        <v>312</v>
      </c>
      <c r="E305" s="493" t="s">
        <v>41</v>
      </c>
      <c r="F305" s="493" t="s">
        <v>6</v>
      </c>
      <c r="G305" s="494">
        <v>5</v>
      </c>
      <c r="H305" s="495" cm="1">
        <f t="array" aca="1" ref="H30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05" s="498" t="str">
        <f ca="1">IF(Inventarisatie[[#This Row],[Freq. Ma-Vr]]=0,0,IF(ISNUMBER(SEARCH("/",_xlfn.XLOOKUP(Inventarisatie[[#This Row],[Locatie]],Tabel2[Locatiecode],Tabel2[Basisfrequentie],0,0))),VLOOKUP("za",WkDagen[],YEAR(NOW())-2020,FALSE),""))</f>
        <v/>
      </c>
      <c r="J30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05" s="498" t="str">
        <f ca="1">IF(Inventarisatie[[#This Row],[Freq. Ma-Vr]]=0,0,IF(_xlfn.XLOOKUP(Inventarisatie[[#This Row],[Locatie]],Tabel2[Locatiecode],Tabel2[Basisfrequentie],0,0)=Locatieoverzicht!$F$47,VLOOKUP("fe",WkDagen[],YEAR(NOW())-2020,FALSE),""))</f>
        <v/>
      </c>
    </row>
    <row r="306" spans="1:11" x14ac:dyDescent="0.2">
      <c r="A306" s="491" t="s">
        <v>147</v>
      </c>
      <c r="B306" s="492" t="s">
        <v>301</v>
      </c>
      <c r="C306" s="493" t="s">
        <v>155</v>
      </c>
      <c r="D306" s="491" t="s">
        <v>307</v>
      </c>
      <c r="E306" s="493" t="s">
        <v>112</v>
      </c>
      <c r="F306" s="493" t="s">
        <v>6</v>
      </c>
      <c r="G306" s="494">
        <v>18</v>
      </c>
      <c r="H306" s="495" cm="1">
        <f t="array" aca="1" ref="H30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06" s="498" t="str">
        <f ca="1">IF(Inventarisatie[[#This Row],[Freq. Ma-Vr]]=0,0,IF(ISNUMBER(SEARCH("/",_xlfn.XLOOKUP(Inventarisatie[[#This Row],[Locatie]],Tabel2[Locatiecode],Tabel2[Basisfrequentie],0,0))),VLOOKUP("za",WkDagen[],YEAR(NOW())-2020,FALSE),""))</f>
        <v/>
      </c>
      <c r="J30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06" s="498" t="str">
        <f ca="1">IF(Inventarisatie[[#This Row],[Freq. Ma-Vr]]=0,0,IF(_xlfn.XLOOKUP(Inventarisatie[[#This Row],[Locatie]],Tabel2[Locatiecode],Tabel2[Basisfrequentie],0,0)=Locatieoverzicht!$F$47,VLOOKUP("fe",WkDagen[],YEAR(NOW())-2020,FALSE),""))</f>
        <v/>
      </c>
    </row>
    <row r="307" spans="1:11" x14ac:dyDescent="0.2">
      <c r="A307" s="493" t="s">
        <v>147</v>
      </c>
      <c r="B307" s="492" t="s">
        <v>301</v>
      </c>
      <c r="C307" s="493" t="s">
        <v>156</v>
      </c>
      <c r="D307" s="491" t="s">
        <v>307</v>
      </c>
      <c r="E307" s="493" t="s">
        <v>26</v>
      </c>
      <c r="F307" s="493" t="s">
        <v>6</v>
      </c>
      <c r="G307" s="494">
        <v>20</v>
      </c>
      <c r="H307" s="495" cm="1">
        <f t="array" aca="1" ref="H30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07" s="498" t="str">
        <f ca="1">IF(Inventarisatie[[#This Row],[Freq. Ma-Vr]]=0,0,IF(ISNUMBER(SEARCH("/",_xlfn.XLOOKUP(Inventarisatie[[#This Row],[Locatie]],Tabel2[Locatiecode],Tabel2[Basisfrequentie],0,0))),VLOOKUP("za",WkDagen[],YEAR(NOW())-2020,FALSE),""))</f>
        <v/>
      </c>
      <c r="J30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07" s="498" t="str">
        <f ca="1">IF(Inventarisatie[[#This Row],[Freq. Ma-Vr]]=0,0,IF(_xlfn.XLOOKUP(Inventarisatie[[#This Row],[Locatie]],Tabel2[Locatiecode],Tabel2[Basisfrequentie],0,0)=Locatieoverzicht!$F$47,VLOOKUP("fe",WkDagen[],YEAR(NOW())-2020,FALSE),""))</f>
        <v/>
      </c>
    </row>
    <row r="308" spans="1:11" x14ac:dyDescent="0.2">
      <c r="A308" s="491" t="s">
        <v>147</v>
      </c>
      <c r="B308" s="492" t="s">
        <v>301</v>
      </c>
      <c r="C308" s="493" t="s">
        <v>157</v>
      </c>
      <c r="D308" s="491" t="s">
        <v>310</v>
      </c>
      <c r="E308" s="493" t="s">
        <v>5</v>
      </c>
      <c r="F308" s="493" t="s">
        <v>6</v>
      </c>
      <c r="G308" s="494">
        <v>22</v>
      </c>
      <c r="H308" s="495" cm="1">
        <f t="array" aca="1" ref="H30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08" s="498" t="str">
        <f ca="1">IF(Inventarisatie[[#This Row],[Freq. Ma-Vr]]=0,0,IF(ISNUMBER(SEARCH("/",_xlfn.XLOOKUP(Inventarisatie[[#This Row],[Locatie]],Tabel2[Locatiecode],Tabel2[Basisfrequentie],0,0))),VLOOKUP("za",WkDagen[],YEAR(NOW())-2020,FALSE),""))</f>
        <v/>
      </c>
      <c r="J30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08" s="498" t="str">
        <f ca="1">IF(Inventarisatie[[#This Row],[Freq. Ma-Vr]]=0,0,IF(_xlfn.XLOOKUP(Inventarisatie[[#This Row],[Locatie]],Tabel2[Locatiecode],Tabel2[Basisfrequentie],0,0)=Locatieoverzicht!$F$47,VLOOKUP("fe",WkDagen[],YEAR(NOW())-2020,FALSE),""))</f>
        <v/>
      </c>
    </row>
    <row r="309" spans="1:11" x14ac:dyDescent="0.2">
      <c r="A309" s="493" t="s">
        <v>147</v>
      </c>
      <c r="B309" s="492" t="s">
        <v>301</v>
      </c>
      <c r="C309" s="493" t="s">
        <v>158</v>
      </c>
      <c r="D309" s="491" t="s">
        <v>312</v>
      </c>
      <c r="E309" s="493" t="s">
        <v>14</v>
      </c>
      <c r="F309" s="493" t="s">
        <v>6</v>
      </c>
      <c r="G309" s="494">
        <v>10</v>
      </c>
      <c r="H309" s="495" cm="1">
        <f t="array" aca="1" ref="H30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09" s="498" t="str">
        <f ca="1">IF(Inventarisatie[[#This Row],[Freq. Ma-Vr]]=0,0,IF(ISNUMBER(SEARCH("/",_xlfn.XLOOKUP(Inventarisatie[[#This Row],[Locatie]],Tabel2[Locatiecode],Tabel2[Basisfrequentie],0,0))),VLOOKUP("za",WkDagen[],YEAR(NOW())-2020,FALSE),""))</f>
        <v/>
      </c>
      <c r="J30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09" s="498" t="str">
        <f ca="1">IF(Inventarisatie[[#This Row],[Freq. Ma-Vr]]=0,0,IF(_xlfn.XLOOKUP(Inventarisatie[[#This Row],[Locatie]],Tabel2[Locatiecode],Tabel2[Basisfrequentie],0,0)=Locatieoverzicht!$F$47,VLOOKUP("fe",WkDagen[],YEAR(NOW())-2020,FALSE),""))</f>
        <v/>
      </c>
    </row>
    <row r="310" spans="1:11" x14ac:dyDescent="0.2">
      <c r="A310" s="493" t="s">
        <v>147</v>
      </c>
      <c r="B310" s="492" t="s">
        <v>305</v>
      </c>
      <c r="C310" s="493" t="s">
        <v>279</v>
      </c>
      <c r="D310" s="491" t="s">
        <v>312</v>
      </c>
      <c r="E310" s="493" t="s">
        <v>41</v>
      </c>
      <c r="F310" s="493" t="s">
        <v>6</v>
      </c>
      <c r="G310" s="494">
        <v>98</v>
      </c>
      <c r="H310" s="495" cm="1">
        <f t="array" aca="1" ref="H31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10" s="498" t="str">
        <f ca="1">IF(Inventarisatie[[#This Row],[Freq. Ma-Vr]]=0,0,IF(ISNUMBER(SEARCH("/",_xlfn.XLOOKUP(Inventarisatie[[#This Row],[Locatie]],Tabel2[Locatiecode],Tabel2[Basisfrequentie],0,0))),VLOOKUP("za",WkDagen[],YEAR(NOW())-2020,FALSE),""))</f>
        <v/>
      </c>
      <c r="J31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10" s="498" t="str">
        <f ca="1">IF(Inventarisatie[[#This Row],[Freq. Ma-Vr]]=0,0,IF(_xlfn.XLOOKUP(Inventarisatie[[#This Row],[Locatie]],Tabel2[Locatiecode],Tabel2[Basisfrequentie],0,0)=Locatieoverzicht!$F$47,VLOOKUP("fe",WkDagen[],YEAR(NOW())-2020,FALSE),""))</f>
        <v/>
      </c>
    </row>
    <row r="311" spans="1:11" x14ac:dyDescent="0.2">
      <c r="A311" s="493" t="s">
        <v>147</v>
      </c>
      <c r="B311" s="492" t="s">
        <v>305</v>
      </c>
      <c r="C311" s="493" t="s">
        <v>280</v>
      </c>
      <c r="D311" s="491" t="s">
        <v>307</v>
      </c>
      <c r="E311" s="493" t="s">
        <v>26</v>
      </c>
      <c r="F311" s="493" t="s">
        <v>6</v>
      </c>
      <c r="G311" s="494">
        <v>26</v>
      </c>
      <c r="H311" s="495" cm="1">
        <f t="array" aca="1" ref="H31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11" s="498" t="str">
        <f ca="1">IF(Inventarisatie[[#This Row],[Freq. Ma-Vr]]=0,0,IF(ISNUMBER(SEARCH("/",_xlfn.XLOOKUP(Inventarisatie[[#This Row],[Locatie]],Tabel2[Locatiecode],Tabel2[Basisfrequentie],0,0))),VLOOKUP("za",WkDagen[],YEAR(NOW())-2020,FALSE),""))</f>
        <v/>
      </c>
      <c r="J31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11" s="498" t="str">
        <f ca="1">IF(Inventarisatie[[#This Row],[Freq. Ma-Vr]]=0,0,IF(_xlfn.XLOOKUP(Inventarisatie[[#This Row],[Locatie]],Tabel2[Locatiecode],Tabel2[Basisfrequentie],0,0)=Locatieoverzicht!$F$47,VLOOKUP("fe",WkDagen[],YEAR(NOW())-2020,FALSE),""))</f>
        <v/>
      </c>
    </row>
    <row r="312" spans="1:11" x14ac:dyDescent="0.2">
      <c r="A312" s="493" t="s">
        <v>147</v>
      </c>
      <c r="B312" s="492" t="s">
        <v>305</v>
      </c>
      <c r="C312" s="493" t="s">
        <v>281</v>
      </c>
      <c r="D312" s="491" t="s">
        <v>307</v>
      </c>
      <c r="E312" s="493" t="s">
        <v>26</v>
      </c>
      <c r="F312" s="493" t="s">
        <v>6</v>
      </c>
      <c r="G312" s="494">
        <v>13.7</v>
      </c>
      <c r="H312" s="495" cm="1">
        <f t="array" aca="1" ref="H31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12" s="498" t="str">
        <f ca="1">IF(Inventarisatie[[#This Row],[Freq. Ma-Vr]]=0,0,IF(ISNUMBER(SEARCH("/",_xlfn.XLOOKUP(Inventarisatie[[#This Row],[Locatie]],Tabel2[Locatiecode],Tabel2[Basisfrequentie],0,0))),VLOOKUP("za",WkDagen[],YEAR(NOW())-2020,FALSE),""))</f>
        <v/>
      </c>
      <c r="J31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12" s="498" t="str">
        <f ca="1">IF(Inventarisatie[[#This Row],[Freq. Ma-Vr]]=0,0,IF(_xlfn.XLOOKUP(Inventarisatie[[#This Row],[Locatie]],Tabel2[Locatiecode],Tabel2[Basisfrequentie],0,0)=Locatieoverzicht!$F$47,VLOOKUP("fe",WkDagen[],YEAR(NOW())-2020,FALSE),""))</f>
        <v/>
      </c>
    </row>
    <row r="313" spans="1:11" x14ac:dyDescent="0.2">
      <c r="A313" s="493" t="s">
        <v>147</v>
      </c>
      <c r="B313" s="492" t="s">
        <v>305</v>
      </c>
      <c r="C313" s="493" t="s">
        <v>282</v>
      </c>
      <c r="D313" s="491" t="s">
        <v>307</v>
      </c>
      <c r="E313" s="493" t="s">
        <v>26</v>
      </c>
      <c r="F313" s="493" t="s">
        <v>6</v>
      </c>
      <c r="G313" s="494">
        <v>13.5</v>
      </c>
      <c r="H313" s="495" cm="1">
        <f t="array" aca="1" ref="H31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13" s="498" t="str">
        <f ca="1">IF(Inventarisatie[[#This Row],[Freq. Ma-Vr]]=0,0,IF(ISNUMBER(SEARCH("/",_xlfn.XLOOKUP(Inventarisatie[[#This Row],[Locatie]],Tabel2[Locatiecode],Tabel2[Basisfrequentie],0,0))),VLOOKUP("za",WkDagen[],YEAR(NOW())-2020,FALSE),""))</f>
        <v/>
      </c>
      <c r="J31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13" s="498" t="str">
        <f ca="1">IF(Inventarisatie[[#This Row],[Freq. Ma-Vr]]=0,0,IF(_xlfn.XLOOKUP(Inventarisatie[[#This Row],[Locatie]],Tabel2[Locatiecode],Tabel2[Basisfrequentie],0,0)=Locatieoverzicht!$F$47,VLOOKUP("fe",WkDagen[],YEAR(NOW())-2020,FALSE),""))</f>
        <v/>
      </c>
    </row>
    <row r="314" spans="1:11" x14ac:dyDescent="0.2">
      <c r="A314" s="493" t="s">
        <v>147</v>
      </c>
      <c r="B314" s="492" t="s">
        <v>305</v>
      </c>
      <c r="C314" s="493" t="s">
        <v>283</v>
      </c>
      <c r="D314" s="491" t="s">
        <v>307</v>
      </c>
      <c r="E314" s="493" t="s">
        <v>26</v>
      </c>
      <c r="F314" s="493" t="s">
        <v>6</v>
      </c>
      <c r="G314" s="494">
        <v>13.5</v>
      </c>
      <c r="H314" s="495" cm="1">
        <f t="array" aca="1" ref="H31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14" s="498" t="str">
        <f ca="1">IF(Inventarisatie[[#This Row],[Freq. Ma-Vr]]=0,0,IF(ISNUMBER(SEARCH("/",_xlfn.XLOOKUP(Inventarisatie[[#This Row],[Locatie]],Tabel2[Locatiecode],Tabel2[Basisfrequentie],0,0))),VLOOKUP("za",WkDagen[],YEAR(NOW())-2020,FALSE),""))</f>
        <v/>
      </c>
      <c r="J31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14" s="498" t="str">
        <f ca="1">IF(Inventarisatie[[#This Row],[Freq. Ma-Vr]]=0,0,IF(_xlfn.XLOOKUP(Inventarisatie[[#This Row],[Locatie]],Tabel2[Locatiecode],Tabel2[Basisfrequentie],0,0)=Locatieoverzicht!$F$47,VLOOKUP("fe",WkDagen[],YEAR(NOW())-2020,FALSE),""))</f>
        <v/>
      </c>
    </row>
    <row r="315" spans="1:11" x14ac:dyDescent="0.2">
      <c r="A315" s="493" t="s">
        <v>147</v>
      </c>
      <c r="B315" s="492" t="s">
        <v>305</v>
      </c>
      <c r="C315" s="493" t="s">
        <v>284</v>
      </c>
      <c r="D315" s="491" t="s">
        <v>307</v>
      </c>
      <c r="E315" s="493" t="s">
        <v>26</v>
      </c>
      <c r="F315" s="493" t="s">
        <v>6</v>
      </c>
      <c r="G315" s="494">
        <v>16</v>
      </c>
      <c r="H315" s="495" cm="1">
        <f t="array" aca="1" ref="H31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15" s="498" t="str">
        <f ca="1">IF(Inventarisatie[[#This Row],[Freq. Ma-Vr]]=0,0,IF(ISNUMBER(SEARCH("/",_xlfn.XLOOKUP(Inventarisatie[[#This Row],[Locatie]],Tabel2[Locatiecode],Tabel2[Basisfrequentie],0,0))),VLOOKUP("za",WkDagen[],YEAR(NOW())-2020,FALSE),""))</f>
        <v/>
      </c>
      <c r="J31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15" s="498" t="str">
        <f ca="1">IF(Inventarisatie[[#This Row],[Freq. Ma-Vr]]=0,0,IF(_xlfn.XLOOKUP(Inventarisatie[[#This Row],[Locatie]],Tabel2[Locatiecode],Tabel2[Basisfrequentie],0,0)=Locatieoverzicht!$F$47,VLOOKUP("fe",WkDagen[],YEAR(NOW())-2020,FALSE),""))</f>
        <v/>
      </c>
    </row>
    <row r="316" spans="1:11" x14ac:dyDescent="0.2">
      <c r="A316" s="493" t="s">
        <v>147</v>
      </c>
      <c r="B316" s="492" t="s">
        <v>305</v>
      </c>
      <c r="C316" s="493" t="s">
        <v>285</v>
      </c>
      <c r="D316" s="491" t="s">
        <v>307</v>
      </c>
      <c r="E316" s="493" t="s">
        <v>26</v>
      </c>
      <c r="F316" s="493" t="s">
        <v>6</v>
      </c>
      <c r="G316" s="494">
        <v>16</v>
      </c>
      <c r="H316" s="495" cm="1">
        <f t="array" aca="1" ref="H31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16" s="498" t="str">
        <f ca="1">IF(Inventarisatie[[#This Row],[Freq. Ma-Vr]]=0,0,IF(ISNUMBER(SEARCH("/",_xlfn.XLOOKUP(Inventarisatie[[#This Row],[Locatie]],Tabel2[Locatiecode],Tabel2[Basisfrequentie],0,0))),VLOOKUP("za",WkDagen[],YEAR(NOW())-2020,FALSE),""))</f>
        <v/>
      </c>
      <c r="J31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16" s="498" t="str">
        <f ca="1">IF(Inventarisatie[[#This Row],[Freq. Ma-Vr]]=0,0,IF(_xlfn.XLOOKUP(Inventarisatie[[#This Row],[Locatie]],Tabel2[Locatiecode],Tabel2[Basisfrequentie],0,0)=Locatieoverzicht!$F$47,VLOOKUP("fe",WkDagen[],YEAR(NOW())-2020,FALSE),""))</f>
        <v/>
      </c>
    </row>
    <row r="317" spans="1:11" x14ac:dyDescent="0.2">
      <c r="A317" s="493" t="s">
        <v>147</v>
      </c>
      <c r="B317" s="492" t="s">
        <v>305</v>
      </c>
      <c r="C317" s="493" t="s">
        <v>286</v>
      </c>
      <c r="D317" s="491" t="s">
        <v>307</v>
      </c>
      <c r="E317" s="493" t="s">
        <v>26</v>
      </c>
      <c r="F317" s="493" t="s">
        <v>6</v>
      </c>
      <c r="G317" s="494">
        <v>13.5</v>
      </c>
      <c r="H317" s="495" cm="1">
        <f t="array" aca="1" ref="H31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17" s="498" t="str">
        <f ca="1">IF(Inventarisatie[[#This Row],[Freq. Ma-Vr]]=0,0,IF(ISNUMBER(SEARCH("/",_xlfn.XLOOKUP(Inventarisatie[[#This Row],[Locatie]],Tabel2[Locatiecode],Tabel2[Basisfrequentie],0,0))),VLOOKUP("za",WkDagen[],YEAR(NOW())-2020,FALSE),""))</f>
        <v/>
      </c>
      <c r="J31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17" s="498" t="str">
        <f ca="1">IF(Inventarisatie[[#This Row],[Freq. Ma-Vr]]=0,0,IF(_xlfn.XLOOKUP(Inventarisatie[[#This Row],[Locatie]],Tabel2[Locatiecode],Tabel2[Basisfrequentie],0,0)=Locatieoverzicht!$F$47,VLOOKUP("fe",WkDagen[],YEAR(NOW())-2020,FALSE),""))</f>
        <v/>
      </c>
    </row>
    <row r="318" spans="1:11" x14ac:dyDescent="0.2">
      <c r="A318" s="493" t="s">
        <v>147</v>
      </c>
      <c r="B318" s="492" t="s">
        <v>305</v>
      </c>
      <c r="C318" s="493" t="s">
        <v>287</v>
      </c>
      <c r="D318" s="491" t="s">
        <v>307</v>
      </c>
      <c r="E318" s="493" t="s">
        <v>26</v>
      </c>
      <c r="F318" s="493" t="s">
        <v>6</v>
      </c>
      <c r="G318" s="494">
        <v>13.5</v>
      </c>
      <c r="H318" s="495" cm="1">
        <f t="array" aca="1" ref="H31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18" s="498" t="str">
        <f ca="1">IF(Inventarisatie[[#This Row],[Freq. Ma-Vr]]=0,0,IF(ISNUMBER(SEARCH("/",_xlfn.XLOOKUP(Inventarisatie[[#This Row],[Locatie]],Tabel2[Locatiecode],Tabel2[Basisfrequentie],0,0))),VLOOKUP("za",WkDagen[],YEAR(NOW())-2020,FALSE),""))</f>
        <v/>
      </c>
      <c r="J31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18" s="498" t="str">
        <f ca="1">IF(Inventarisatie[[#This Row],[Freq. Ma-Vr]]=0,0,IF(_xlfn.XLOOKUP(Inventarisatie[[#This Row],[Locatie]],Tabel2[Locatiecode],Tabel2[Basisfrequentie],0,0)=Locatieoverzicht!$F$47,VLOOKUP("fe",WkDagen[],YEAR(NOW())-2020,FALSE),""))</f>
        <v/>
      </c>
    </row>
    <row r="319" spans="1:11" x14ac:dyDescent="0.2">
      <c r="A319" s="493" t="s">
        <v>147</v>
      </c>
      <c r="B319" s="492" t="s">
        <v>305</v>
      </c>
      <c r="C319" s="493" t="s">
        <v>288</v>
      </c>
      <c r="D319" s="491" t="s">
        <v>307</v>
      </c>
      <c r="E319" s="493" t="s">
        <v>26</v>
      </c>
      <c r="F319" s="493" t="s">
        <v>6</v>
      </c>
      <c r="G319" s="494">
        <v>13.5</v>
      </c>
      <c r="H319" s="495" cm="1">
        <f t="array" aca="1" ref="H31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19" s="498" t="str">
        <f ca="1">IF(Inventarisatie[[#This Row],[Freq. Ma-Vr]]=0,0,IF(ISNUMBER(SEARCH("/",_xlfn.XLOOKUP(Inventarisatie[[#This Row],[Locatie]],Tabel2[Locatiecode],Tabel2[Basisfrequentie],0,0))),VLOOKUP("za",WkDagen[],YEAR(NOW())-2020,FALSE),""))</f>
        <v/>
      </c>
      <c r="J31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19" s="498" t="str">
        <f ca="1">IF(Inventarisatie[[#This Row],[Freq. Ma-Vr]]=0,0,IF(_xlfn.XLOOKUP(Inventarisatie[[#This Row],[Locatie]],Tabel2[Locatiecode],Tabel2[Basisfrequentie],0,0)=Locatieoverzicht!$F$47,VLOOKUP("fe",WkDagen[],YEAR(NOW())-2020,FALSE),""))</f>
        <v/>
      </c>
    </row>
    <row r="320" spans="1:11" x14ac:dyDescent="0.2">
      <c r="A320" s="493" t="s">
        <v>147</v>
      </c>
      <c r="B320" s="492" t="s">
        <v>306</v>
      </c>
      <c r="C320" s="493" t="s">
        <v>289</v>
      </c>
      <c r="D320" s="491" t="s">
        <v>312</v>
      </c>
      <c r="E320" s="493" t="s">
        <v>41</v>
      </c>
      <c r="F320" s="493" t="s">
        <v>6</v>
      </c>
      <c r="G320" s="494">
        <v>79.400000000000006</v>
      </c>
      <c r="H320" s="495" cm="1">
        <f t="array" aca="1" ref="H32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20" s="498" t="str">
        <f ca="1">IF(Inventarisatie[[#This Row],[Freq. Ma-Vr]]=0,0,IF(ISNUMBER(SEARCH("/",_xlfn.XLOOKUP(Inventarisatie[[#This Row],[Locatie]],Tabel2[Locatiecode],Tabel2[Basisfrequentie],0,0))),VLOOKUP("za",WkDagen[],YEAR(NOW())-2020,FALSE),""))</f>
        <v/>
      </c>
      <c r="J32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20" s="498" t="str">
        <f ca="1">IF(Inventarisatie[[#This Row],[Freq. Ma-Vr]]=0,0,IF(_xlfn.XLOOKUP(Inventarisatie[[#This Row],[Locatie]],Tabel2[Locatiecode],Tabel2[Basisfrequentie],0,0)=Locatieoverzicht!$F$47,VLOOKUP("fe",WkDagen[],YEAR(NOW())-2020,FALSE),""))</f>
        <v/>
      </c>
    </row>
    <row r="321" spans="1:11" x14ac:dyDescent="0.2">
      <c r="A321" s="493" t="s">
        <v>147</v>
      </c>
      <c r="B321" s="492" t="s">
        <v>306</v>
      </c>
      <c r="C321" s="493" t="s">
        <v>290</v>
      </c>
      <c r="D321" s="491" t="s">
        <v>307</v>
      </c>
      <c r="E321" s="493" t="s">
        <v>26</v>
      </c>
      <c r="F321" s="493" t="s">
        <v>6</v>
      </c>
      <c r="G321" s="494">
        <v>14.2</v>
      </c>
      <c r="H321" s="495" cm="1">
        <f t="array" aca="1" ref="H32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21" s="498" t="str">
        <f ca="1">IF(Inventarisatie[[#This Row],[Freq. Ma-Vr]]=0,0,IF(ISNUMBER(SEARCH("/",_xlfn.XLOOKUP(Inventarisatie[[#This Row],[Locatie]],Tabel2[Locatiecode],Tabel2[Basisfrequentie],0,0))),VLOOKUP("za",WkDagen[],YEAR(NOW())-2020,FALSE),""))</f>
        <v/>
      </c>
      <c r="J32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21" s="498" t="str">
        <f ca="1">IF(Inventarisatie[[#This Row],[Freq. Ma-Vr]]=0,0,IF(_xlfn.XLOOKUP(Inventarisatie[[#This Row],[Locatie]],Tabel2[Locatiecode],Tabel2[Basisfrequentie],0,0)=Locatieoverzicht!$F$47,VLOOKUP("fe",WkDagen[],YEAR(NOW())-2020,FALSE),""))</f>
        <v/>
      </c>
    </row>
    <row r="322" spans="1:11" x14ac:dyDescent="0.2">
      <c r="A322" s="493" t="s">
        <v>147</v>
      </c>
      <c r="B322" s="492" t="s">
        <v>306</v>
      </c>
      <c r="C322" s="493" t="s">
        <v>291</v>
      </c>
      <c r="D322" s="491" t="s">
        <v>307</v>
      </c>
      <c r="E322" s="493" t="s">
        <v>26</v>
      </c>
      <c r="F322" s="493" t="s">
        <v>6</v>
      </c>
      <c r="G322" s="494">
        <v>13.7</v>
      </c>
      <c r="H322" s="495" cm="1">
        <f t="array" aca="1" ref="H32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22" s="498" t="str">
        <f ca="1">IF(Inventarisatie[[#This Row],[Freq. Ma-Vr]]=0,0,IF(ISNUMBER(SEARCH("/",_xlfn.XLOOKUP(Inventarisatie[[#This Row],[Locatie]],Tabel2[Locatiecode],Tabel2[Basisfrequentie],0,0))),VLOOKUP("za",WkDagen[],YEAR(NOW())-2020,FALSE),""))</f>
        <v/>
      </c>
      <c r="J32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22" s="498" t="str">
        <f ca="1">IF(Inventarisatie[[#This Row],[Freq. Ma-Vr]]=0,0,IF(_xlfn.XLOOKUP(Inventarisatie[[#This Row],[Locatie]],Tabel2[Locatiecode],Tabel2[Basisfrequentie],0,0)=Locatieoverzicht!$F$47,VLOOKUP("fe",WkDagen[],YEAR(NOW())-2020,FALSE),""))</f>
        <v/>
      </c>
    </row>
    <row r="323" spans="1:11" x14ac:dyDescent="0.2">
      <c r="A323" s="493" t="s">
        <v>147</v>
      </c>
      <c r="B323" s="492" t="s">
        <v>306</v>
      </c>
      <c r="C323" s="493" t="s">
        <v>292</v>
      </c>
      <c r="D323" s="491" t="s">
        <v>307</v>
      </c>
      <c r="E323" s="493" t="s">
        <v>26</v>
      </c>
      <c r="F323" s="493" t="s">
        <v>6</v>
      </c>
      <c r="G323" s="494">
        <v>13.7</v>
      </c>
      <c r="H323" s="495" cm="1">
        <f t="array" aca="1" ref="H32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23" s="498" t="str">
        <f ca="1">IF(Inventarisatie[[#This Row],[Freq. Ma-Vr]]=0,0,IF(ISNUMBER(SEARCH("/",_xlfn.XLOOKUP(Inventarisatie[[#This Row],[Locatie]],Tabel2[Locatiecode],Tabel2[Basisfrequentie],0,0))),VLOOKUP("za",WkDagen[],YEAR(NOW())-2020,FALSE),""))</f>
        <v/>
      </c>
      <c r="J32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23" s="498" t="str">
        <f ca="1">IF(Inventarisatie[[#This Row],[Freq. Ma-Vr]]=0,0,IF(_xlfn.XLOOKUP(Inventarisatie[[#This Row],[Locatie]],Tabel2[Locatiecode],Tabel2[Basisfrequentie],0,0)=Locatieoverzicht!$F$47,VLOOKUP("fe",WkDagen[],YEAR(NOW())-2020,FALSE),""))</f>
        <v/>
      </c>
    </row>
    <row r="324" spans="1:11" x14ac:dyDescent="0.2">
      <c r="A324" s="493" t="s">
        <v>147</v>
      </c>
      <c r="B324" s="492" t="s">
        <v>306</v>
      </c>
      <c r="C324" s="493" t="s">
        <v>293</v>
      </c>
      <c r="D324" s="491" t="s">
        <v>307</v>
      </c>
      <c r="E324" s="493" t="s">
        <v>26</v>
      </c>
      <c r="F324" s="493" t="s">
        <v>6</v>
      </c>
      <c r="G324" s="494">
        <v>13.7</v>
      </c>
      <c r="H324" s="495" cm="1">
        <f t="array" aca="1" ref="H32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24" s="498" t="str">
        <f ca="1">IF(Inventarisatie[[#This Row],[Freq. Ma-Vr]]=0,0,IF(ISNUMBER(SEARCH("/",_xlfn.XLOOKUP(Inventarisatie[[#This Row],[Locatie]],Tabel2[Locatiecode],Tabel2[Basisfrequentie],0,0))),VLOOKUP("za",WkDagen[],YEAR(NOW())-2020,FALSE),""))</f>
        <v/>
      </c>
      <c r="J32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24" s="498" t="str">
        <f ca="1">IF(Inventarisatie[[#This Row],[Freq. Ma-Vr]]=0,0,IF(_xlfn.XLOOKUP(Inventarisatie[[#This Row],[Locatie]],Tabel2[Locatiecode],Tabel2[Basisfrequentie],0,0)=Locatieoverzicht!$F$47,VLOOKUP("fe",WkDagen[],YEAR(NOW())-2020,FALSE),""))</f>
        <v/>
      </c>
    </row>
    <row r="325" spans="1:11" x14ac:dyDescent="0.2">
      <c r="A325" s="493" t="s">
        <v>147</v>
      </c>
      <c r="B325" s="492" t="s">
        <v>306</v>
      </c>
      <c r="C325" s="493" t="s">
        <v>294</v>
      </c>
      <c r="D325" s="491" t="s">
        <v>307</v>
      </c>
      <c r="E325" s="493" t="s">
        <v>26</v>
      </c>
      <c r="F325" s="493" t="s">
        <v>6</v>
      </c>
      <c r="G325" s="494">
        <v>15.9</v>
      </c>
      <c r="H325" s="495" cm="1">
        <f t="array" aca="1" ref="H32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25" s="498" t="str">
        <f ca="1">IF(Inventarisatie[[#This Row],[Freq. Ma-Vr]]=0,0,IF(ISNUMBER(SEARCH("/",_xlfn.XLOOKUP(Inventarisatie[[#This Row],[Locatie]],Tabel2[Locatiecode],Tabel2[Basisfrequentie],0,0))),VLOOKUP("za",WkDagen[],YEAR(NOW())-2020,FALSE),""))</f>
        <v/>
      </c>
      <c r="J32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25" s="498" t="str">
        <f ca="1">IF(Inventarisatie[[#This Row],[Freq. Ma-Vr]]=0,0,IF(_xlfn.XLOOKUP(Inventarisatie[[#This Row],[Locatie]],Tabel2[Locatiecode],Tabel2[Basisfrequentie],0,0)=Locatieoverzicht!$F$47,VLOOKUP("fe",WkDagen[],YEAR(NOW())-2020,FALSE),""))</f>
        <v/>
      </c>
    </row>
    <row r="326" spans="1:11" x14ac:dyDescent="0.2">
      <c r="A326" s="493" t="s">
        <v>147</v>
      </c>
      <c r="B326" s="492" t="s">
        <v>306</v>
      </c>
      <c r="C326" s="493" t="s">
        <v>295</v>
      </c>
      <c r="D326" s="491" t="s">
        <v>307</v>
      </c>
      <c r="E326" s="493" t="s">
        <v>26</v>
      </c>
      <c r="F326" s="493" t="s">
        <v>6</v>
      </c>
      <c r="G326" s="494">
        <v>169</v>
      </c>
      <c r="H326" s="495" cm="1">
        <f t="array" aca="1" ref="H32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26" s="498" t="str">
        <f ca="1">IF(Inventarisatie[[#This Row],[Freq. Ma-Vr]]=0,0,IF(ISNUMBER(SEARCH("/",_xlfn.XLOOKUP(Inventarisatie[[#This Row],[Locatie]],Tabel2[Locatiecode],Tabel2[Basisfrequentie],0,0))),VLOOKUP("za",WkDagen[],YEAR(NOW())-2020,FALSE),""))</f>
        <v/>
      </c>
      <c r="J32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26" s="498" t="str">
        <f ca="1">IF(Inventarisatie[[#This Row],[Freq. Ma-Vr]]=0,0,IF(_xlfn.XLOOKUP(Inventarisatie[[#This Row],[Locatie]],Tabel2[Locatiecode],Tabel2[Basisfrequentie],0,0)=Locatieoverzicht!$F$47,VLOOKUP("fe",WkDagen[],YEAR(NOW())-2020,FALSE),""))</f>
        <v/>
      </c>
    </row>
    <row r="327" spans="1:11" x14ac:dyDescent="0.2">
      <c r="A327" s="493" t="s">
        <v>147</v>
      </c>
      <c r="B327" s="492" t="s">
        <v>306</v>
      </c>
      <c r="C327" s="493" t="s">
        <v>296</v>
      </c>
      <c r="D327" s="491" t="s">
        <v>307</v>
      </c>
      <c r="E327" s="493" t="s">
        <v>26</v>
      </c>
      <c r="F327" s="493" t="s">
        <v>6</v>
      </c>
      <c r="G327" s="494">
        <v>13.5</v>
      </c>
      <c r="H327" s="495" cm="1">
        <f t="array" aca="1" ref="H32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27" s="498" t="str">
        <f ca="1">IF(Inventarisatie[[#This Row],[Freq. Ma-Vr]]=0,0,IF(ISNUMBER(SEARCH("/",_xlfn.XLOOKUP(Inventarisatie[[#This Row],[Locatie]],Tabel2[Locatiecode],Tabel2[Basisfrequentie],0,0))),VLOOKUP("za",WkDagen[],YEAR(NOW())-2020,FALSE),""))</f>
        <v/>
      </c>
      <c r="J32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27" s="498" t="str">
        <f ca="1">IF(Inventarisatie[[#This Row],[Freq. Ma-Vr]]=0,0,IF(_xlfn.XLOOKUP(Inventarisatie[[#This Row],[Locatie]],Tabel2[Locatiecode],Tabel2[Basisfrequentie],0,0)=Locatieoverzicht!$F$47,VLOOKUP("fe",WkDagen[],YEAR(NOW())-2020,FALSE),""))</f>
        <v/>
      </c>
    </row>
    <row r="328" spans="1:11" x14ac:dyDescent="0.2">
      <c r="A328" s="493" t="s">
        <v>147</v>
      </c>
      <c r="B328" s="492" t="s">
        <v>306</v>
      </c>
      <c r="C328" s="493" t="s">
        <v>297</v>
      </c>
      <c r="D328" s="491" t="s">
        <v>307</v>
      </c>
      <c r="E328" s="493" t="s">
        <v>26</v>
      </c>
      <c r="F328" s="493" t="s">
        <v>6</v>
      </c>
      <c r="G328" s="494">
        <v>13.7</v>
      </c>
      <c r="H328" s="495" cm="1">
        <f t="array" aca="1" ref="H32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28" s="498" t="str">
        <f ca="1">IF(Inventarisatie[[#This Row],[Freq. Ma-Vr]]=0,0,IF(ISNUMBER(SEARCH("/",_xlfn.XLOOKUP(Inventarisatie[[#This Row],[Locatie]],Tabel2[Locatiecode],Tabel2[Basisfrequentie],0,0))),VLOOKUP("za",WkDagen[],YEAR(NOW())-2020,FALSE),""))</f>
        <v/>
      </c>
      <c r="J32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28" s="498" t="str">
        <f ca="1">IF(Inventarisatie[[#This Row],[Freq. Ma-Vr]]=0,0,IF(_xlfn.XLOOKUP(Inventarisatie[[#This Row],[Locatie]],Tabel2[Locatiecode],Tabel2[Basisfrequentie],0,0)=Locatieoverzicht!$F$47,VLOOKUP("fe",WkDagen[],YEAR(NOW())-2020,FALSE),""))</f>
        <v/>
      </c>
    </row>
    <row r="329" spans="1:11" x14ac:dyDescent="0.2">
      <c r="A329" s="493" t="s">
        <v>147</v>
      </c>
      <c r="B329" s="492" t="s">
        <v>306</v>
      </c>
      <c r="C329" s="493" t="s">
        <v>298</v>
      </c>
      <c r="D329" s="491" t="s">
        <v>307</v>
      </c>
      <c r="E329" s="493" t="s">
        <v>26</v>
      </c>
      <c r="F329" s="493" t="s">
        <v>6</v>
      </c>
      <c r="G329" s="494">
        <v>13.7</v>
      </c>
      <c r="H329" s="495" cm="1">
        <f t="array" aca="1" ref="H32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29" s="498" t="str">
        <f ca="1">IF(Inventarisatie[[#This Row],[Freq. Ma-Vr]]=0,0,IF(ISNUMBER(SEARCH("/",_xlfn.XLOOKUP(Inventarisatie[[#This Row],[Locatie]],Tabel2[Locatiecode],Tabel2[Basisfrequentie],0,0))),VLOOKUP("za",WkDagen[],YEAR(NOW())-2020,FALSE),""))</f>
        <v/>
      </c>
      <c r="J32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29" s="498" t="str">
        <f ca="1">IF(Inventarisatie[[#This Row],[Freq. Ma-Vr]]=0,0,IF(_xlfn.XLOOKUP(Inventarisatie[[#This Row],[Locatie]],Tabel2[Locatiecode],Tabel2[Basisfrequentie],0,0)=Locatieoverzicht!$F$47,VLOOKUP("fe",WkDagen[],YEAR(NOW())-2020,FALSE),""))</f>
        <v/>
      </c>
    </row>
    <row r="330" spans="1:11" x14ac:dyDescent="0.2">
      <c r="A330" s="493" t="s">
        <v>147</v>
      </c>
      <c r="B330" s="492" t="s">
        <v>306</v>
      </c>
      <c r="C330" s="493" t="s">
        <v>299</v>
      </c>
      <c r="D330" s="491" t="s">
        <v>307</v>
      </c>
      <c r="E330" s="493" t="s">
        <v>26</v>
      </c>
      <c r="F330" s="493" t="s">
        <v>6</v>
      </c>
      <c r="G330" s="494">
        <v>14.2</v>
      </c>
      <c r="H330" s="495" cm="1">
        <f t="array" aca="1" ref="H33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30" s="498" t="str">
        <f ca="1">IF(Inventarisatie[[#This Row],[Freq. Ma-Vr]]=0,0,IF(ISNUMBER(SEARCH("/",_xlfn.XLOOKUP(Inventarisatie[[#This Row],[Locatie]],Tabel2[Locatiecode],Tabel2[Basisfrequentie],0,0))),VLOOKUP("za",WkDagen[],YEAR(NOW())-2020,FALSE),""))</f>
        <v/>
      </c>
      <c r="J33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30" s="498" t="str">
        <f ca="1">IF(Inventarisatie[[#This Row],[Freq. Ma-Vr]]=0,0,IF(_xlfn.XLOOKUP(Inventarisatie[[#This Row],[Locatie]],Tabel2[Locatiecode],Tabel2[Basisfrequentie],0,0)=Locatieoverzicht!$F$47,VLOOKUP("fe",WkDagen[],YEAR(NOW())-2020,FALSE),""))</f>
        <v/>
      </c>
    </row>
    <row r="331" spans="1:11" x14ac:dyDescent="0.2">
      <c r="A331" s="491" t="s">
        <v>159</v>
      </c>
      <c r="B331" s="492" t="s">
        <v>301</v>
      </c>
      <c r="C331" s="493" t="s">
        <v>60</v>
      </c>
      <c r="D331" s="491" t="s">
        <v>24</v>
      </c>
      <c r="E331" s="493" t="s">
        <v>24</v>
      </c>
      <c r="F331" s="493" t="s">
        <v>6</v>
      </c>
      <c r="G331" s="494">
        <v>40.1</v>
      </c>
      <c r="H331" s="495" cm="1">
        <f t="array" aca="1" ref="H33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31" s="498" t="str">
        <f ca="1">IF(Inventarisatie[[#This Row],[Freq. Ma-Vr]]=0,0,IF(ISNUMBER(SEARCH("/",_xlfn.XLOOKUP(Inventarisatie[[#This Row],[Locatie]],Tabel2[Locatiecode],Tabel2[Basisfrequentie],0,0))),VLOOKUP("za",WkDagen[],YEAR(NOW())-2020,FALSE),""))</f>
        <v/>
      </c>
      <c r="J33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31" s="498" t="str">
        <f ca="1">IF(Inventarisatie[[#This Row],[Freq. Ma-Vr]]=0,0,IF(_xlfn.XLOOKUP(Inventarisatie[[#This Row],[Locatie]],Tabel2[Locatiecode],Tabel2[Basisfrequentie],0,0)=Locatieoverzicht!$F$47,VLOOKUP("fe",WkDagen[],YEAR(NOW())-2020,FALSE),""))</f>
        <v/>
      </c>
    </row>
    <row r="332" spans="1:11" x14ac:dyDescent="0.2">
      <c r="A332" s="491" t="s">
        <v>159</v>
      </c>
      <c r="B332" s="492" t="s">
        <v>301</v>
      </c>
      <c r="C332" s="493" t="s">
        <v>62</v>
      </c>
      <c r="D332" s="491" t="s">
        <v>310</v>
      </c>
      <c r="E332" s="493" t="s">
        <v>5</v>
      </c>
      <c r="F332" s="493" t="s">
        <v>6</v>
      </c>
      <c r="G332" s="494">
        <v>18</v>
      </c>
      <c r="H332" s="495" cm="1">
        <f t="array" aca="1" ref="H33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32" s="498" t="str">
        <f ca="1">IF(Inventarisatie[[#This Row],[Freq. Ma-Vr]]=0,0,IF(ISNUMBER(SEARCH("/",_xlfn.XLOOKUP(Inventarisatie[[#This Row],[Locatie]],Tabel2[Locatiecode],Tabel2[Basisfrequentie],0,0))),VLOOKUP("za",WkDagen[],YEAR(NOW())-2020,FALSE),""))</f>
        <v/>
      </c>
      <c r="J33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32" s="498" t="str">
        <f ca="1">IF(Inventarisatie[[#This Row],[Freq. Ma-Vr]]=0,0,IF(_xlfn.XLOOKUP(Inventarisatie[[#This Row],[Locatie]],Tabel2[Locatiecode],Tabel2[Basisfrequentie],0,0)=Locatieoverzicht!$F$47,VLOOKUP("fe",WkDagen[],YEAR(NOW())-2020,FALSE),""))</f>
        <v/>
      </c>
    </row>
    <row r="333" spans="1:11" x14ac:dyDescent="0.2">
      <c r="A333" s="491" t="s">
        <v>159</v>
      </c>
      <c r="B333" s="492" t="s">
        <v>301</v>
      </c>
      <c r="C333" s="493" t="s">
        <v>64</v>
      </c>
      <c r="D333" s="491" t="s">
        <v>310</v>
      </c>
      <c r="E333" s="493" t="s">
        <v>5</v>
      </c>
      <c r="F333" s="493" t="s">
        <v>6</v>
      </c>
      <c r="G333" s="494">
        <v>18</v>
      </c>
      <c r="H333" s="495" cm="1">
        <f t="array" aca="1" ref="H33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33" s="498" t="str">
        <f ca="1">IF(Inventarisatie[[#This Row],[Freq. Ma-Vr]]=0,0,IF(ISNUMBER(SEARCH("/",_xlfn.XLOOKUP(Inventarisatie[[#This Row],[Locatie]],Tabel2[Locatiecode],Tabel2[Basisfrequentie],0,0))),VLOOKUP("za",WkDagen[],YEAR(NOW())-2020,FALSE),""))</f>
        <v/>
      </c>
      <c r="J33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33" s="498" t="str">
        <f ca="1">IF(Inventarisatie[[#This Row],[Freq. Ma-Vr]]=0,0,IF(_xlfn.XLOOKUP(Inventarisatie[[#This Row],[Locatie]],Tabel2[Locatiecode],Tabel2[Basisfrequentie],0,0)=Locatieoverzicht!$F$47,VLOOKUP("fe",WkDagen[],YEAR(NOW())-2020,FALSE),""))</f>
        <v/>
      </c>
    </row>
    <row r="334" spans="1:11" x14ac:dyDescent="0.2">
      <c r="A334" s="491" t="s">
        <v>159</v>
      </c>
      <c r="B334" s="492" t="s">
        <v>301</v>
      </c>
      <c r="C334" s="493" t="s">
        <v>65</v>
      </c>
      <c r="D334" s="491" t="s">
        <v>307</v>
      </c>
      <c r="E334" s="493" t="s">
        <v>26</v>
      </c>
      <c r="F334" s="493" t="s">
        <v>6</v>
      </c>
      <c r="G334" s="494">
        <v>20.8</v>
      </c>
      <c r="H334" s="495" cm="1">
        <f t="array" aca="1" ref="H33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34" s="498" t="str">
        <f ca="1">IF(Inventarisatie[[#This Row],[Freq. Ma-Vr]]=0,0,IF(ISNUMBER(SEARCH("/",_xlfn.XLOOKUP(Inventarisatie[[#This Row],[Locatie]],Tabel2[Locatiecode],Tabel2[Basisfrequentie],0,0))),VLOOKUP("za",WkDagen[],YEAR(NOW())-2020,FALSE),""))</f>
        <v/>
      </c>
      <c r="J33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34" s="498" t="str">
        <f ca="1">IF(Inventarisatie[[#This Row],[Freq. Ma-Vr]]=0,0,IF(_xlfn.XLOOKUP(Inventarisatie[[#This Row],[Locatie]],Tabel2[Locatiecode],Tabel2[Basisfrequentie],0,0)=Locatieoverzicht!$F$47,VLOOKUP("fe",WkDagen[],YEAR(NOW())-2020,FALSE),""))</f>
        <v/>
      </c>
    </row>
    <row r="335" spans="1:11" x14ac:dyDescent="0.2">
      <c r="A335" s="491" t="s">
        <v>159</v>
      </c>
      <c r="B335" s="492" t="s">
        <v>301</v>
      </c>
      <c r="C335" s="493" t="s">
        <v>66</v>
      </c>
      <c r="D335" s="491" t="s">
        <v>311</v>
      </c>
      <c r="E335" s="493" t="s">
        <v>16</v>
      </c>
      <c r="F335" s="493" t="s">
        <v>17</v>
      </c>
      <c r="G335" s="494">
        <v>3.2</v>
      </c>
      <c r="H335" s="495" cm="1">
        <f t="array" aca="1" ref="H33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35" s="498" t="str">
        <f ca="1">IF(Inventarisatie[[#This Row],[Freq. Ma-Vr]]=0,0,IF(ISNUMBER(SEARCH("/",_xlfn.XLOOKUP(Inventarisatie[[#This Row],[Locatie]],Tabel2[Locatiecode],Tabel2[Basisfrequentie],0,0))),VLOOKUP("za",WkDagen[],YEAR(NOW())-2020,FALSE),""))</f>
        <v/>
      </c>
      <c r="J33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35" s="498" t="str">
        <f ca="1">IF(Inventarisatie[[#This Row],[Freq. Ma-Vr]]=0,0,IF(_xlfn.XLOOKUP(Inventarisatie[[#This Row],[Locatie]],Tabel2[Locatiecode],Tabel2[Basisfrequentie],0,0)=Locatieoverzicht!$F$47,VLOOKUP("fe",WkDagen[],YEAR(NOW())-2020,FALSE),""))</f>
        <v/>
      </c>
    </row>
    <row r="336" spans="1:11" x14ac:dyDescent="0.2">
      <c r="A336" s="491" t="s">
        <v>159</v>
      </c>
      <c r="B336" s="492" t="s">
        <v>301</v>
      </c>
      <c r="C336" s="493" t="s">
        <v>67</v>
      </c>
      <c r="D336" s="491" t="s">
        <v>308</v>
      </c>
      <c r="E336" s="493" t="s">
        <v>35</v>
      </c>
      <c r="F336" s="493" t="s">
        <v>6</v>
      </c>
      <c r="G336" s="494">
        <v>4.4000000000000004</v>
      </c>
      <c r="H336" s="495" cm="1">
        <f t="array" aca="1" ref="H33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36" s="498" t="str">
        <f ca="1">IF(Inventarisatie[[#This Row],[Freq. Ma-Vr]]=0,0,IF(ISNUMBER(SEARCH("/",_xlfn.XLOOKUP(Inventarisatie[[#This Row],[Locatie]],Tabel2[Locatiecode],Tabel2[Basisfrequentie],0,0))),VLOOKUP("za",WkDagen[],YEAR(NOW())-2020,FALSE),""))</f>
        <v/>
      </c>
      <c r="J33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36" s="498" t="str">
        <f ca="1">IF(Inventarisatie[[#This Row],[Freq. Ma-Vr]]=0,0,IF(_xlfn.XLOOKUP(Inventarisatie[[#This Row],[Locatie]],Tabel2[Locatiecode],Tabel2[Basisfrequentie],0,0)=Locatieoverzicht!$F$47,VLOOKUP("fe",WkDagen[],YEAR(NOW())-2020,FALSE),""))</f>
        <v/>
      </c>
    </row>
    <row r="337" spans="1:11" x14ac:dyDescent="0.2">
      <c r="A337" s="491" t="s">
        <v>159</v>
      </c>
      <c r="B337" s="492" t="s">
        <v>301</v>
      </c>
      <c r="C337" s="493" t="s">
        <v>72</v>
      </c>
      <c r="D337" s="491" t="s">
        <v>312</v>
      </c>
      <c r="E337" s="493" t="s">
        <v>110</v>
      </c>
      <c r="F337" s="493" t="s">
        <v>6</v>
      </c>
      <c r="G337" s="494">
        <v>3.1</v>
      </c>
      <c r="H337" s="495" cm="1">
        <f t="array" aca="1" ref="H33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37" s="498" t="str">
        <f ca="1">IF(Inventarisatie[[#This Row],[Freq. Ma-Vr]]=0,0,IF(ISNUMBER(SEARCH("/",_xlfn.XLOOKUP(Inventarisatie[[#This Row],[Locatie]],Tabel2[Locatiecode],Tabel2[Basisfrequentie],0,0))),VLOOKUP("za",WkDagen[],YEAR(NOW())-2020,FALSE),""))</f>
        <v/>
      </c>
      <c r="J33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37" s="498" t="str">
        <f ca="1">IF(Inventarisatie[[#This Row],[Freq. Ma-Vr]]=0,0,IF(_xlfn.XLOOKUP(Inventarisatie[[#This Row],[Locatie]],Tabel2[Locatiecode],Tabel2[Basisfrequentie],0,0)=Locatieoverzicht!$F$47,VLOOKUP("fe",WkDagen[],YEAR(NOW())-2020,FALSE),""))</f>
        <v/>
      </c>
    </row>
    <row r="338" spans="1:11" x14ac:dyDescent="0.2">
      <c r="A338" s="491" t="s">
        <v>160</v>
      </c>
      <c r="B338" s="492" t="s">
        <v>301</v>
      </c>
      <c r="C338" s="493" t="s">
        <v>60</v>
      </c>
      <c r="D338" s="491" t="s">
        <v>24</v>
      </c>
      <c r="E338" s="493" t="s">
        <v>24</v>
      </c>
      <c r="F338" s="493" t="s">
        <v>6</v>
      </c>
      <c r="G338" s="494">
        <v>72.3</v>
      </c>
      <c r="H338" s="495" cm="1">
        <f t="array" aca="1" ref="H33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38" s="498" t="str">
        <f ca="1">IF(Inventarisatie[[#This Row],[Freq. Ma-Vr]]=0,0,IF(ISNUMBER(SEARCH("/",_xlfn.XLOOKUP(Inventarisatie[[#This Row],[Locatie]],Tabel2[Locatiecode],Tabel2[Basisfrequentie],0,0))),VLOOKUP("za",WkDagen[],YEAR(NOW())-2020,FALSE),""))</f>
        <v/>
      </c>
      <c r="J33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38" s="498" t="str">
        <f ca="1">IF(Inventarisatie[[#This Row],[Freq. Ma-Vr]]=0,0,IF(_xlfn.XLOOKUP(Inventarisatie[[#This Row],[Locatie]],Tabel2[Locatiecode],Tabel2[Basisfrequentie],0,0)=Locatieoverzicht!$F$47,VLOOKUP("fe",WkDagen[],YEAR(NOW())-2020,FALSE),""))</f>
        <v/>
      </c>
    </row>
    <row r="339" spans="1:11" x14ac:dyDescent="0.2">
      <c r="A339" s="493" t="s">
        <v>160</v>
      </c>
      <c r="B339" s="492" t="s">
        <v>301</v>
      </c>
      <c r="C339" s="493" t="s">
        <v>62</v>
      </c>
      <c r="D339" s="491" t="s">
        <v>310</v>
      </c>
      <c r="E339" s="493" t="s">
        <v>5</v>
      </c>
      <c r="F339" s="497" t="s">
        <v>6</v>
      </c>
      <c r="G339" s="494">
        <v>22.9</v>
      </c>
      <c r="H339" s="495" cm="1">
        <f t="array" aca="1" ref="H33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39" s="498" t="str">
        <f ca="1">IF(Inventarisatie[[#This Row],[Freq. Ma-Vr]]=0,0,IF(ISNUMBER(SEARCH("/",_xlfn.XLOOKUP(Inventarisatie[[#This Row],[Locatie]],Tabel2[Locatiecode],Tabel2[Basisfrequentie],0,0))),VLOOKUP("za",WkDagen[],YEAR(NOW())-2020,FALSE),""))</f>
        <v/>
      </c>
      <c r="J33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39" s="498" t="str">
        <f ca="1">IF(Inventarisatie[[#This Row],[Freq. Ma-Vr]]=0,0,IF(_xlfn.XLOOKUP(Inventarisatie[[#This Row],[Locatie]],Tabel2[Locatiecode],Tabel2[Basisfrequentie],0,0)=Locatieoverzicht!$F$47,VLOOKUP("fe",WkDagen[],YEAR(NOW())-2020,FALSE),""))</f>
        <v/>
      </c>
    </row>
    <row r="340" spans="1:11" x14ac:dyDescent="0.2">
      <c r="A340" s="491" t="s">
        <v>160</v>
      </c>
      <c r="B340" s="492" t="s">
        <v>301</v>
      </c>
      <c r="C340" s="493" t="s">
        <v>64</v>
      </c>
      <c r="D340" s="491" t="s">
        <v>310</v>
      </c>
      <c r="E340" s="493" t="s">
        <v>5</v>
      </c>
      <c r="F340" s="493" t="s">
        <v>6</v>
      </c>
      <c r="G340" s="494">
        <v>22.9</v>
      </c>
      <c r="H340" s="495" cm="1">
        <f t="array" aca="1" ref="H34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40" s="498" t="str">
        <f ca="1">IF(Inventarisatie[[#This Row],[Freq. Ma-Vr]]=0,0,IF(ISNUMBER(SEARCH("/",_xlfn.XLOOKUP(Inventarisatie[[#This Row],[Locatie]],Tabel2[Locatiecode],Tabel2[Basisfrequentie],0,0))),VLOOKUP("za",WkDagen[],YEAR(NOW())-2020,FALSE),""))</f>
        <v/>
      </c>
      <c r="J34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40" s="498" t="str">
        <f ca="1">IF(Inventarisatie[[#This Row],[Freq. Ma-Vr]]=0,0,IF(_xlfn.XLOOKUP(Inventarisatie[[#This Row],[Locatie]],Tabel2[Locatiecode],Tabel2[Basisfrequentie],0,0)=Locatieoverzicht!$F$47,VLOOKUP("fe",WkDagen[],YEAR(NOW())-2020,FALSE),""))</f>
        <v/>
      </c>
    </row>
    <row r="341" spans="1:11" x14ac:dyDescent="0.2">
      <c r="A341" s="493" t="s">
        <v>160</v>
      </c>
      <c r="B341" s="492" t="s">
        <v>301</v>
      </c>
      <c r="C341" s="493" t="s">
        <v>65</v>
      </c>
      <c r="D341" s="491" t="s">
        <v>308</v>
      </c>
      <c r="E341" s="493" t="s">
        <v>35</v>
      </c>
      <c r="F341" s="497" t="s">
        <v>6</v>
      </c>
      <c r="G341" s="494">
        <v>19.3</v>
      </c>
      <c r="H341" s="495" cm="1">
        <f t="array" aca="1" ref="H34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41" s="498" t="str">
        <f ca="1">IF(Inventarisatie[[#This Row],[Freq. Ma-Vr]]=0,0,IF(ISNUMBER(SEARCH("/",_xlfn.XLOOKUP(Inventarisatie[[#This Row],[Locatie]],Tabel2[Locatiecode],Tabel2[Basisfrequentie],0,0))),VLOOKUP("za",WkDagen[],YEAR(NOW())-2020,FALSE),""))</f>
        <v/>
      </c>
      <c r="J34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41" s="498" t="str">
        <f ca="1">IF(Inventarisatie[[#This Row],[Freq. Ma-Vr]]=0,0,IF(_xlfn.XLOOKUP(Inventarisatie[[#This Row],[Locatie]],Tabel2[Locatiecode],Tabel2[Basisfrequentie],0,0)=Locatieoverzicht!$F$47,VLOOKUP("fe",WkDagen[],YEAR(NOW())-2020,FALSE),""))</f>
        <v/>
      </c>
    </row>
    <row r="342" spans="1:11" x14ac:dyDescent="0.2">
      <c r="A342" s="491" t="s">
        <v>160</v>
      </c>
      <c r="B342" s="492" t="s">
        <v>301</v>
      </c>
      <c r="C342" s="493" t="s">
        <v>66</v>
      </c>
      <c r="D342" s="491" t="s">
        <v>312</v>
      </c>
      <c r="E342" s="493" t="s">
        <v>88</v>
      </c>
      <c r="F342" s="493" t="s">
        <v>6</v>
      </c>
      <c r="G342" s="494">
        <v>5.7</v>
      </c>
      <c r="H342" s="495" cm="1">
        <f t="array" aca="1" ref="H34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42" s="498" t="str">
        <f ca="1">IF(Inventarisatie[[#This Row],[Freq. Ma-Vr]]=0,0,IF(ISNUMBER(SEARCH("/",_xlfn.XLOOKUP(Inventarisatie[[#This Row],[Locatie]],Tabel2[Locatiecode],Tabel2[Basisfrequentie],0,0))),VLOOKUP("za",WkDagen[],YEAR(NOW())-2020,FALSE),""))</f>
        <v/>
      </c>
      <c r="J34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42" s="498" t="str">
        <f ca="1">IF(Inventarisatie[[#This Row],[Freq. Ma-Vr]]=0,0,IF(_xlfn.XLOOKUP(Inventarisatie[[#This Row],[Locatie]],Tabel2[Locatiecode],Tabel2[Basisfrequentie],0,0)=Locatieoverzicht!$F$47,VLOOKUP("fe",WkDagen[],YEAR(NOW())-2020,FALSE),""))</f>
        <v/>
      </c>
    </row>
    <row r="343" spans="1:11" x14ac:dyDescent="0.2">
      <c r="A343" s="493" t="s">
        <v>160</v>
      </c>
      <c r="B343" s="492" t="s">
        <v>301</v>
      </c>
      <c r="C343" s="493" t="s">
        <v>67</v>
      </c>
      <c r="D343" s="491" t="s">
        <v>312</v>
      </c>
      <c r="E343" s="493" t="s">
        <v>41</v>
      </c>
      <c r="F343" s="497" t="s">
        <v>6</v>
      </c>
      <c r="G343" s="494">
        <v>23.2</v>
      </c>
      <c r="H343" s="495" cm="1">
        <f t="array" aca="1" ref="H34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43" s="498" t="str">
        <f ca="1">IF(Inventarisatie[[#This Row],[Freq. Ma-Vr]]=0,0,IF(ISNUMBER(SEARCH("/",_xlfn.XLOOKUP(Inventarisatie[[#This Row],[Locatie]],Tabel2[Locatiecode],Tabel2[Basisfrequentie],0,0))),VLOOKUP("za",WkDagen[],YEAR(NOW())-2020,FALSE),""))</f>
        <v/>
      </c>
      <c r="J34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43" s="498" t="str">
        <f ca="1">IF(Inventarisatie[[#This Row],[Freq. Ma-Vr]]=0,0,IF(_xlfn.XLOOKUP(Inventarisatie[[#This Row],[Locatie]],Tabel2[Locatiecode],Tabel2[Basisfrequentie],0,0)=Locatieoverzicht!$F$47,VLOOKUP("fe",WkDagen[],YEAR(NOW())-2020,FALSE),""))</f>
        <v/>
      </c>
    </row>
    <row r="344" spans="1:11" x14ac:dyDescent="0.2">
      <c r="A344" s="491" t="s">
        <v>160</v>
      </c>
      <c r="B344" s="492" t="s">
        <v>301</v>
      </c>
      <c r="C344" s="493" t="s">
        <v>68</v>
      </c>
      <c r="D344" s="491" t="s">
        <v>311</v>
      </c>
      <c r="E344" s="493" t="s">
        <v>90</v>
      </c>
      <c r="F344" s="493" t="s">
        <v>17</v>
      </c>
      <c r="G344" s="494">
        <v>5.3</v>
      </c>
      <c r="H344" s="495" cm="1">
        <f t="array" aca="1" ref="H34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44" s="498" t="str">
        <f ca="1">IF(Inventarisatie[[#This Row],[Freq. Ma-Vr]]=0,0,IF(ISNUMBER(SEARCH("/",_xlfn.XLOOKUP(Inventarisatie[[#This Row],[Locatie]],Tabel2[Locatiecode],Tabel2[Basisfrequentie],0,0))),VLOOKUP("za",WkDagen[],YEAR(NOW())-2020,FALSE),""))</f>
        <v/>
      </c>
      <c r="J34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44" s="498" t="str">
        <f ca="1">IF(Inventarisatie[[#This Row],[Freq. Ma-Vr]]=0,0,IF(_xlfn.XLOOKUP(Inventarisatie[[#This Row],[Locatie]],Tabel2[Locatiecode],Tabel2[Basisfrequentie],0,0)=Locatieoverzicht!$F$47,VLOOKUP("fe",WkDagen[],YEAR(NOW())-2020,FALSE),""))</f>
        <v/>
      </c>
    </row>
    <row r="345" spans="1:11" x14ac:dyDescent="0.2">
      <c r="A345" s="493" t="s">
        <v>160</v>
      </c>
      <c r="B345" s="492" t="s">
        <v>301</v>
      </c>
      <c r="C345" s="493" t="s">
        <v>72</v>
      </c>
      <c r="D345" s="491" t="s">
        <v>307</v>
      </c>
      <c r="E345" s="493" t="s">
        <v>26</v>
      </c>
      <c r="F345" s="497" t="s">
        <v>6</v>
      </c>
      <c r="G345" s="494">
        <v>37.6</v>
      </c>
      <c r="H345" s="495" cm="1">
        <f t="array" aca="1" ref="H34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45" s="498" t="str">
        <f ca="1">IF(Inventarisatie[[#This Row],[Freq. Ma-Vr]]=0,0,IF(ISNUMBER(SEARCH("/",_xlfn.XLOOKUP(Inventarisatie[[#This Row],[Locatie]],Tabel2[Locatiecode],Tabel2[Basisfrequentie],0,0))),VLOOKUP("za",WkDagen[],YEAR(NOW())-2020,FALSE),""))</f>
        <v/>
      </c>
      <c r="J34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45" s="498" t="str">
        <f ca="1">IF(Inventarisatie[[#This Row],[Freq. Ma-Vr]]=0,0,IF(_xlfn.XLOOKUP(Inventarisatie[[#This Row],[Locatie]],Tabel2[Locatiecode],Tabel2[Basisfrequentie],0,0)=Locatieoverzicht!$F$47,VLOOKUP("fe",WkDagen[],YEAR(NOW())-2020,FALSE),""))</f>
        <v/>
      </c>
    </row>
    <row r="346" spans="1:11" x14ac:dyDescent="0.2">
      <c r="A346" s="491" t="s">
        <v>160</v>
      </c>
      <c r="B346" s="492" t="s">
        <v>301</v>
      </c>
      <c r="C346" s="493" t="s">
        <v>69</v>
      </c>
      <c r="D346" s="491" t="s">
        <v>307</v>
      </c>
      <c r="E346" s="493" t="s">
        <v>26</v>
      </c>
      <c r="F346" s="493" t="s">
        <v>6</v>
      </c>
      <c r="G346" s="494">
        <v>25</v>
      </c>
      <c r="H346" s="495" cm="1">
        <f t="array" aca="1" ref="H34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46" s="498" t="str">
        <f ca="1">IF(Inventarisatie[[#This Row],[Freq. Ma-Vr]]=0,0,IF(ISNUMBER(SEARCH("/",_xlfn.XLOOKUP(Inventarisatie[[#This Row],[Locatie]],Tabel2[Locatiecode],Tabel2[Basisfrequentie],0,0))),VLOOKUP("za",WkDagen[],YEAR(NOW())-2020,FALSE),""))</f>
        <v/>
      </c>
      <c r="J34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46" s="498" t="str">
        <f ca="1">IF(Inventarisatie[[#This Row],[Freq. Ma-Vr]]=0,0,IF(_xlfn.XLOOKUP(Inventarisatie[[#This Row],[Locatie]],Tabel2[Locatiecode],Tabel2[Basisfrequentie],0,0)=Locatieoverzicht!$F$47,VLOOKUP("fe",WkDagen[],YEAR(NOW())-2020,FALSE),""))</f>
        <v/>
      </c>
    </row>
    <row r="347" spans="1:11" x14ac:dyDescent="0.2">
      <c r="A347" s="493" t="s">
        <v>160</v>
      </c>
      <c r="B347" s="492" t="s">
        <v>301</v>
      </c>
      <c r="C347" s="493" t="s">
        <v>82</v>
      </c>
      <c r="D347" s="491" t="s">
        <v>312</v>
      </c>
      <c r="E347" s="493" t="s">
        <v>37</v>
      </c>
      <c r="F347" s="497" t="s">
        <v>38</v>
      </c>
      <c r="G347" s="494">
        <v>10.4</v>
      </c>
      <c r="H347" s="495" cm="1">
        <f t="array" aca="1" ref="H34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47" s="498" t="str">
        <f ca="1">IF(Inventarisatie[[#This Row],[Freq. Ma-Vr]]=0,0,IF(ISNUMBER(SEARCH("/",_xlfn.XLOOKUP(Inventarisatie[[#This Row],[Locatie]],Tabel2[Locatiecode],Tabel2[Basisfrequentie],0,0))),VLOOKUP("za",WkDagen[],YEAR(NOW())-2020,FALSE),""))</f>
        <v/>
      </c>
      <c r="J34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47" s="498" t="str">
        <f ca="1">IF(Inventarisatie[[#This Row],[Freq. Ma-Vr]]=0,0,IF(_xlfn.XLOOKUP(Inventarisatie[[#This Row],[Locatie]],Tabel2[Locatiecode],Tabel2[Basisfrequentie],0,0)=Locatieoverzicht!$F$47,VLOOKUP("fe",WkDagen[],YEAR(NOW())-2020,FALSE),""))</f>
        <v/>
      </c>
    </row>
    <row r="348" spans="1:11" x14ac:dyDescent="0.2">
      <c r="A348" s="493" t="s">
        <v>161</v>
      </c>
      <c r="B348" s="492" t="s">
        <v>301</v>
      </c>
      <c r="C348" s="493" t="s">
        <v>62</v>
      </c>
      <c r="D348" s="491" t="s">
        <v>310</v>
      </c>
      <c r="E348" s="493" t="s">
        <v>19</v>
      </c>
      <c r="F348" s="497" t="s">
        <v>6</v>
      </c>
      <c r="G348" s="494">
        <v>24</v>
      </c>
      <c r="H348" s="495" cm="1">
        <f t="array" aca="1" ref="H34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48" s="498" t="str">
        <f ca="1">IF(Inventarisatie[[#This Row],[Freq. Ma-Vr]]=0,0,IF(ISNUMBER(SEARCH("/",_xlfn.XLOOKUP(Inventarisatie[[#This Row],[Locatie]],Tabel2[Locatiecode],Tabel2[Basisfrequentie],0,0))),VLOOKUP("za",WkDagen[],YEAR(NOW())-2020,FALSE),""))</f>
        <v/>
      </c>
      <c r="J34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48" s="498" t="str">
        <f ca="1">IF(Inventarisatie[[#This Row],[Freq. Ma-Vr]]=0,0,IF(_xlfn.XLOOKUP(Inventarisatie[[#This Row],[Locatie]],Tabel2[Locatiecode],Tabel2[Basisfrequentie],0,0)=Locatieoverzicht!$F$47,VLOOKUP("fe",WkDagen[],YEAR(NOW())-2020,FALSE),""))</f>
        <v/>
      </c>
    </row>
    <row r="349" spans="1:11" x14ac:dyDescent="0.2">
      <c r="A349" s="493" t="s">
        <v>161</v>
      </c>
      <c r="B349" s="492" t="s">
        <v>301</v>
      </c>
      <c r="C349" s="493" t="s">
        <v>64</v>
      </c>
      <c r="D349" s="491" t="s">
        <v>24</v>
      </c>
      <c r="E349" s="493" t="s">
        <v>24</v>
      </c>
      <c r="F349" s="497" t="s">
        <v>6</v>
      </c>
      <c r="G349" s="494">
        <v>41</v>
      </c>
      <c r="H349" s="495" cm="1">
        <f t="array" aca="1" ref="H34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49" s="498" t="str">
        <f ca="1">IF(Inventarisatie[[#This Row],[Freq. Ma-Vr]]=0,0,IF(ISNUMBER(SEARCH("/",_xlfn.XLOOKUP(Inventarisatie[[#This Row],[Locatie]],Tabel2[Locatiecode],Tabel2[Basisfrequentie],0,0))),VLOOKUP("za",WkDagen[],YEAR(NOW())-2020,FALSE),""))</f>
        <v/>
      </c>
      <c r="J34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49" s="498" t="str">
        <f ca="1">IF(Inventarisatie[[#This Row],[Freq. Ma-Vr]]=0,0,IF(_xlfn.XLOOKUP(Inventarisatie[[#This Row],[Locatie]],Tabel2[Locatiecode],Tabel2[Basisfrequentie],0,0)=Locatieoverzicht!$F$47,VLOOKUP("fe",WkDagen[],YEAR(NOW())-2020,FALSE),""))</f>
        <v/>
      </c>
    </row>
    <row r="350" spans="1:11" x14ac:dyDescent="0.2">
      <c r="A350" s="493" t="s">
        <v>161</v>
      </c>
      <c r="B350" s="492" t="s">
        <v>301</v>
      </c>
      <c r="C350" s="493" t="s">
        <v>65</v>
      </c>
      <c r="D350" s="491" t="s">
        <v>310</v>
      </c>
      <c r="E350" s="493" t="s">
        <v>5</v>
      </c>
      <c r="F350" s="497" t="s">
        <v>6</v>
      </c>
      <c r="G350" s="494">
        <v>21</v>
      </c>
      <c r="H350" s="495" cm="1">
        <f t="array" aca="1" ref="H35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50" s="498" t="str">
        <f ca="1">IF(Inventarisatie[[#This Row],[Freq. Ma-Vr]]=0,0,IF(ISNUMBER(SEARCH("/",_xlfn.XLOOKUP(Inventarisatie[[#This Row],[Locatie]],Tabel2[Locatiecode],Tabel2[Basisfrequentie],0,0))),VLOOKUP("za",WkDagen[],YEAR(NOW())-2020,FALSE),""))</f>
        <v/>
      </c>
      <c r="J35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50" s="498" t="str">
        <f ca="1">IF(Inventarisatie[[#This Row],[Freq. Ma-Vr]]=0,0,IF(_xlfn.XLOOKUP(Inventarisatie[[#This Row],[Locatie]],Tabel2[Locatiecode],Tabel2[Basisfrequentie],0,0)=Locatieoverzicht!$F$47,VLOOKUP("fe",WkDagen[],YEAR(NOW())-2020,FALSE),""))</f>
        <v/>
      </c>
    </row>
    <row r="351" spans="1:11" x14ac:dyDescent="0.2">
      <c r="A351" s="493" t="s">
        <v>161</v>
      </c>
      <c r="B351" s="492" t="s">
        <v>301</v>
      </c>
      <c r="C351" s="493" t="s">
        <v>66</v>
      </c>
      <c r="D351" s="491" t="s">
        <v>310</v>
      </c>
      <c r="E351" s="493" t="s">
        <v>5</v>
      </c>
      <c r="F351" s="497" t="s">
        <v>6</v>
      </c>
      <c r="G351" s="494">
        <v>21</v>
      </c>
      <c r="H351" s="495" cm="1">
        <f t="array" aca="1" ref="H35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51" s="498" t="str">
        <f ca="1">IF(Inventarisatie[[#This Row],[Freq. Ma-Vr]]=0,0,IF(ISNUMBER(SEARCH("/",_xlfn.XLOOKUP(Inventarisatie[[#This Row],[Locatie]],Tabel2[Locatiecode],Tabel2[Basisfrequentie],0,0))),VLOOKUP("za",WkDagen[],YEAR(NOW())-2020,FALSE),""))</f>
        <v/>
      </c>
      <c r="J35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51" s="498" t="str">
        <f ca="1">IF(Inventarisatie[[#This Row],[Freq. Ma-Vr]]=0,0,IF(_xlfn.XLOOKUP(Inventarisatie[[#This Row],[Locatie]],Tabel2[Locatiecode],Tabel2[Basisfrequentie],0,0)=Locatieoverzicht!$F$47,VLOOKUP("fe",WkDagen[],YEAR(NOW())-2020,FALSE),""))</f>
        <v/>
      </c>
    </row>
    <row r="352" spans="1:11" x14ac:dyDescent="0.2">
      <c r="A352" s="493" t="s">
        <v>161</v>
      </c>
      <c r="B352" s="492" t="s">
        <v>301</v>
      </c>
      <c r="C352" s="493" t="s">
        <v>67</v>
      </c>
      <c r="D352" s="491" t="s">
        <v>310</v>
      </c>
      <c r="E352" s="493" t="s">
        <v>5</v>
      </c>
      <c r="F352" s="497" t="s">
        <v>6</v>
      </c>
      <c r="G352" s="494">
        <v>25</v>
      </c>
      <c r="H352" s="495" cm="1">
        <f t="array" aca="1" ref="H35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52" s="498" t="str">
        <f ca="1">IF(Inventarisatie[[#This Row],[Freq. Ma-Vr]]=0,0,IF(ISNUMBER(SEARCH("/",_xlfn.XLOOKUP(Inventarisatie[[#This Row],[Locatie]],Tabel2[Locatiecode],Tabel2[Basisfrequentie],0,0))),VLOOKUP("za",WkDagen[],YEAR(NOW())-2020,FALSE),""))</f>
        <v/>
      </c>
      <c r="J35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52" s="498" t="str">
        <f ca="1">IF(Inventarisatie[[#This Row],[Freq. Ma-Vr]]=0,0,IF(_xlfn.XLOOKUP(Inventarisatie[[#This Row],[Locatie]],Tabel2[Locatiecode],Tabel2[Basisfrequentie],0,0)=Locatieoverzicht!$F$47,VLOOKUP("fe",WkDagen[],YEAR(NOW())-2020,FALSE),""))</f>
        <v/>
      </c>
    </row>
    <row r="353" spans="1:11" x14ac:dyDescent="0.2">
      <c r="A353" s="493" t="s">
        <v>161</v>
      </c>
      <c r="B353" s="492" t="s">
        <v>301</v>
      </c>
      <c r="C353" s="493" t="s">
        <v>68</v>
      </c>
      <c r="D353" s="491" t="s">
        <v>312</v>
      </c>
      <c r="E353" s="493" t="s">
        <v>162</v>
      </c>
      <c r="F353" s="497" t="s">
        <v>6</v>
      </c>
      <c r="G353" s="494">
        <v>2</v>
      </c>
      <c r="H353" s="495" cm="1">
        <f t="array" aca="1" ref="H35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53" s="498" t="str">
        <f ca="1">IF(Inventarisatie[[#This Row],[Freq. Ma-Vr]]=0,0,IF(ISNUMBER(SEARCH("/",_xlfn.XLOOKUP(Inventarisatie[[#This Row],[Locatie]],Tabel2[Locatiecode],Tabel2[Basisfrequentie],0,0))),VLOOKUP("za",WkDagen[],YEAR(NOW())-2020,FALSE),""))</f>
        <v/>
      </c>
      <c r="J35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53" s="498" t="str">
        <f ca="1">IF(Inventarisatie[[#This Row],[Freq. Ma-Vr]]=0,0,IF(_xlfn.XLOOKUP(Inventarisatie[[#This Row],[Locatie]],Tabel2[Locatiecode],Tabel2[Basisfrequentie],0,0)=Locatieoverzicht!$F$47,VLOOKUP("fe",WkDagen[],YEAR(NOW())-2020,FALSE),""))</f>
        <v/>
      </c>
    </row>
    <row r="354" spans="1:11" x14ac:dyDescent="0.2">
      <c r="A354" s="493" t="s">
        <v>161</v>
      </c>
      <c r="B354" s="492" t="s">
        <v>301</v>
      </c>
      <c r="C354" s="493" t="s">
        <v>69</v>
      </c>
      <c r="D354" s="491" t="s">
        <v>312</v>
      </c>
      <c r="E354" s="493" t="s">
        <v>29</v>
      </c>
      <c r="F354" s="497" t="s">
        <v>6</v>
      </c>
      <c r="G354" s="494">
        <v>4</v>
      </c>
      <c r="H354" s="495" cm="1">
        <f t="array" aca="1" ref="H35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54" s="498" t="str">
        <f ca="1">IF(Inventarisatie[[#This Row],[Freq. Ma-Vr]]=0,0,IF(ISNUMBER(SEARCH("/",_xlfn.XLOOKUP(Inventarisatie[[#This Row],[Locatie]],Tabel2[Locatiecode],Tabel2[Basisfrequentie],0,0))),VLOOKUP("za",WkDagen[],YEAR(NOW())-2020,FALSE),""))</f>
        <v/>
      </c>
      <c r="J35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54" s="498" t="str">
        <f ca="1">IF(Inventarisatie[[#This Row],[Freq. Ma-Vr]]=0,0,IF(_xlfn.XLOOKUP(Inventarisatie[[#This Row],[Locatie]],Tabel2[Locatiecode],Tabel2[Basisfrequentie],0,0)=Locatieoverzicht!$F$47,VLOOKUP("fe",WkDagen[],YEAR(NOW())-2020,FALSE),""))</f>
        <v/>
      </c>
    </row>
    <row r="355" spans="1:11" x14ac:dyDescent="0.2">
      <c r="A355" s="493" t="s">
        <v>161</v>
      </c>
      <c r="B355" s="492" t="s">
        <v>301</v>
      </c>
      <c r="C355" s="493" t="s">
        <v>95</v>
      </c>
      <c r="D355" s="491" t="s">
        <v>310</v>
      </c>
      <c r="E355" s="493" t="s">
        <v>5</v>
      </c>
      <c r="F355" s="497" t="s">
        <v>6</v>
      </c>
      <c r="G355" s="494">
        <v>1</v>
      </c>
      <c r="H355" s="495" cm="1">
        <f t="array" aca="1" ref="H35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55" s="498" t="str">
        <f ca="1">IF(Inventarisatie[[#This Row],[Freq. Ma-Vr]]=0,0,IF(ISNUMBER(SEARCH("/",_xlfn.XLOOKUP(Inventarisatie[[#This Row],[Locatie]],Tabel2[Locatiecode],Tabel2[Basisfrequentie],0,0))),VLOOKUP("za",WkDagen[],YEAR(NOW())-2020,FALSE),""))</f>
        <v/>
      </c>
      <c r="J35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55" s="498" t="str">
        <f ca="1">IF(Inventarisatie[[#This Row],[Freq. Ma-Vr]]=0,0,IF(_xlfn.XLOOKUP(Inventarisatie[[#This Row],[Locatie]],Tabel2[Locatiecode],Tabel2[Basisfrequentie],0,0)=Locatieoverzicht!$F$47,VLOOKUP("fe",WkDagen[],YEAR(NOW())-2020,FALSE),""))</f>
        <v/>
      </c>
    </row>
    <row r="356" spans="1:11" x14ac:dyDescent="0.2">
      <c r="A356" s="493" t="s">
        <v>161</v>
      </c>
      <c r="B356" s="492" t="s">
        <v>301</v>
      </c>
      <c r="C356" s="493" t="s">
        <v>163</v>
      </c>
      <c r="D356" s="491" t="s">
        <v>311</v>
      </c>
      <c r="E356" s="493" t="s">
        <v>16</v>
      </c>
      <c r="F356" s="493" t="s">
        <v>17</v>
      </c>
      <c r="G356" s="494">
        <v>3</v>
      </c>
      <c r="H356" s="495" cm="1">
        <f t="array" aca="1" ref="H35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56" s="498" t="str">
        <f ca="1">IF(Inventarisatie[[#This Row],[Freq. Ma-Vr]]=0,0,IF(ISNUMBER(SEARCH("/",_xlfn.XLOOKUP(Inventarisatie[[#This Row],[Locatie]],Tabel2[Locatiecode],Tabel2[Basisfrequentie],0,0))),VLOOKUP("za",WkDagen[],YEAR(NOW())-2020,FALSE),""))</f>
        <v/>
      </c>
      <c r="J35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56" s="498" t="str">
        <f ca="1">IF(Inventarisatie[[#This Row],[Freq. Ma-Vr]]=0,0,IF(_xlfn.XLOOKUP(Inventarisatie[[#This Row],[Locatie]],Tabel2[Locatiecode],Tabel2[Basisfrequentie],0,0)=Locatieoverzicht!$F$47,VLOOKUP("fe",WkDagen[],YEAR(NOW())-2020,FALSE),""))</f>
        <v/>
      </c>
    </row>
    <row r="357" spans="1:11" x14ac:dyDescent="0.2">
      <c r="A357" s="493" t="s">
        <v>161</v>
      </c>
      <c r="B357" s="492" t="s">
        <v>301</v>
      </c>
      <c r="C357" s="493" t="s">
        <v>164</v>
      </c>
      <c r="D357" s="491" t="s">
        <v>311</v>
      </c>
      <c r="E357" s="493" t="s">
        <v>16</v>
      </c>
      <c r="F357" s="493" t="s">
        <v>17</v>
      </c>
      <c r="G357" s="494">
        <v>3</v>
      </c>
      <c r="H357" s="495" cm="1">
        <f t="array" aca="1" ref="H35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57" s="498" t="str">
        <f ca="1">IF(Inventarisatie[[#This Row],[Freq. Ma-Vr]]=0,0,IF(ISNUMBER(SEARCH("/",_xlfn.XLOOKUP(Inventarisatie[[#This Row],[Locatie]],Tabel2[Locatiecode],Tabel2[Basisfrequentie],0,0))),VLOOKUP("za",WkDagen[],YEAR(NOW())-2020,FALSE),""))</f>
        <v/>
      </c>
      <c r="J35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57" s="498" t="str">
        <f ca="1">IF(Inventarisatie[[#This Row],[Freq. Ma-Vr]]=0,0,IF(_xlfn.XLOOKUP(Inventarisatie[[#This Row],[Locatie]],Tabel2[Locatiecode],Tabel2[Basisfrequentie],0,0)=Locatieoverzicht!$F$47,VLOOKUP("fe",WkDagen[],YEAR(NOW())-2020,FALSE),""))</f>
        <v/>
      </c>
    </row>
    <row r="358" spans="1:11" x14ac:dyDescent="0.2">
      <c r="A358" s="493" t="s">
        <v>161</v>
      </c>
      <c r="B358" s="492" t="s">
        <v>301</v>
      </c>
      <c r="C358" s="493" t="s">
        <v>74</v>
      </c>
      <c r="D358" s="491" t="s">
        <v>310</v>
      </c>
      <c r="E358" s="493" t="s">
        <v>5</v>
      </c>
      <c r="F358" s="497" t="s">
        <v>6</v>
      </c>
      <c r="G358" s="494">
        <v>21</v>
      </c>
      <c r="H358" s="495" cm="1">
        <f t="array" aca="1" ref="H35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58" s="498" t="str">
        <f ca="1">IF(Inventarisatie[[#This Row],[Freq. Ma-Vr]]=0,0,IF(ISNUMBER(SEARCH("/",_xlfn.XLOOKUP(Inventarisatie[[#This Row],[Locatie]],Tabel2[Locatiecode],Tabel2[Basisfrequentie],0,0))),VLOOKUP("za",WkDagen[],YEAR(NOW())-2020,FALSE),""))</f>
        <v/>
      </c>
      <c r="J35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58" s="498" t="str">
        <f ca="1">IF(Inventarisatie[[#This Row],[Freq. Ma-Vr]]=0,0,IF(_xlfn.XLOOKUP(Inventarisatie[[#This Row],[Locatie]],Tabel2[Locatiecode],Tabel2[Basisfrequentie],0,0)=Locatieoverzicht!$F$47,VLOOKUP("fe",WkDagen[],YEAR(NOW())-2020,FALSE),""))</f>
        <v/>
      </c>
    </row>
    <row r="359" spans="1:11" x14ac:dyDescent="0.2">
      <c r="A359" s="493" t="s">
        <v>161</v>
      </c>
      <c r="B359" s="492" t="s">
        <v>301</v>
      </c>
      <c r="C359" s="493" t="s">
        <v>76</v>
      </c>
      <c r="D359" s="491" t="s">
        <v>307</v>
      </c>
      <c r="E359" s="493" t="s">
        <v>26</v>
      </c>
      <c r="F359" s="497" t="s">
        <v>6</v>
      </c>
      <c r="G359" s="494">
        <v>29</v>
      </c>
      <c r="H359" s="495" cm="1">
        <f t="array" aca="1" ref="H35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59" s="498" t="str">
        <f ca="1">IF(Inventarisatie[[#This Row],[Freq. Ma-Vr]]=0,0,IF(ISNUMBER(SEARCH("/",_xlfn.XLOOKUP(Inventarisatie[[#This Row],[Locatie]],Tabel2[Locatiecode],Tabel2[Basisfrequentie],0,0))),VLOOKUP("za",WkDagen[],YEAR(NOW())-2020,FALSE),""))</f>
        <v/>
      </c>
      <c r="J35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59" s="498" t="str">
        <f ca="1">IF(Inventarisatie[[#This Row],[Freq. Ma-Vr]]=0,0,IF(_xlfn.XLOOKUP(Inventarisatie[[#This Row],[Locatie]],Tabel2[Locatiecode],Tabel2[Basisfrequentie],0,0)=Locatieoverzicht!$F$47,VLOOKUP("fe",WkDagen[],YEAR(NOW())-2020,FALSE),""))</f>
        <v/>
      </c>
    </row>
    <row r="360" spans="1:11" x14ac:dyDescent="0.2">
      <c r="A360" s="493" t="s">
        <v>161</v>
      </c>
      <c r="B360" s="492" t="s">
        <v>301</v>
      </c>
      <c r="C360" s="493" t="s">
        <v>165</v>
      </c>
      <c r="D360" s="491" t="s">
        <v>312</v>
      </c>
      <c r="E360" s="493" t="s">
        <v>88</v>
      </c>
      <c r="F360" s="493" t="s">
        <v>96</v>
      </c>
      <c r="G360" s="494">
        <v>3</v>
      </c>
      <c r="H360" s="495" cm="1">
        <f t="array" aca="1" ref="H36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60" s="498" t="str">
        <f ca="1">IF(Inventarisatie[[#This Row],[Freq. Ma-Vr]]=0,0,IF(ISNUMBER(SEARCH("/",_xlfn.XLOOKUP(Inventarisatie[[#This Row],[Locatie]],Tabel2[Locatiecode],Tabel2[Basisfrequentie],0,0))),VLOOKUP("za",WkDagen[],YEAR(NOW())-2020,FALSE),""))</f>
        <v/>
      </c>
      <c r="J36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60" s="498" t="str">
        <f ca="1">IF(Inventarisatie[[#This Row],[Freq. Ma-Vr]]=0,0,IF(_xlfn.XLOOKUP(Inventarisatie[[#This Row],[Locatie]],Tabel2[Locatiecode],Tabel2[Basisfrequentie],0,0)=Locatieoverzicht!$F$47,VLOOKUP("fe",WkDagen[],YEAR(NOW())-2020,FALSE),""))</f>
        <v/>
      </c>
    </row>
    <row r="361" spans="1:11" x14ac:dyDescent="0.2">
      <c r="A361" s="493" t="s">
        <v>161</v>
      </c>
      <c r="B361" s="492" t="s">
        <v>301</v>
      </c>
      <c r="C361" s="493" t="s">
        <v>71</v>
      </c>
      <c r="D361" s="491" t="s">
        <v>311</v>
      </c>
      <c r="E361" s="493" t="s">
        <v>16</v>
      </c>
      <c r="F361" s="493" t="s">
        <v>17</v>
      </c>
      <c r="G361" s="494">
        <v>1</v>
      </c>
      <c r="H361" s="495" cm="1">
        <f t="array" aca="1" ref="H36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61" s="498" t="str">
        <f ca="1">IF(Inventarisatie[[#This Row],[Freq. Ma-Vr]]=0,0,IF(ISNUMBER(SEARCH("/",_xlfn.XLOOKUP(Inventarisatie[[#This Row],[Locatie]],Tabel2[Locatiecode],Tabel2[Basisfrequentie],0,0))),VLOOKUP("za",WkDagen[],YEAR(NOW())-2020,FALSE),""))</f>
        <v/>
      </c>
      <c r="J36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61" s="498" t="str">
        <f ca="1">IF(Inventarisatie[[#This Row],[Freq. Ma-Vr]]=0,0,IF(_xlfn.XLOOKUP(Inventarisatie[[#This Row],[Locatie]],Tabel2[Locatiecode],Tabel2[Basisfrequentie],0,0)=Locatieoverzicht!$F$47,VLOOKUP("fe",WkDagen[],YEAR(NOW())-2020,FALSE),""))</f>
        <v/>
      </c>
    </row>
    <row r="362" spans="1:11" x14ac:dyDescent="0.2">
      <c r="A362" s="493" t="s">
        <v>161</v>
      </c>
      <c r="B362" s="492" t="s">
        <v>301</v>
      </c>
      <c r="C362" s="493" t="s">
        <v>166</v>
      </c>
      <c r="D362" s="491" t="s">
        <v>312</v>
      </c>
      <c r="E362" s="493" t="s">
        <v>41</v>
      </c>
      <c r="F362" s="493" t="s">
        <v>6</v>
      </c>
      <c r="G362" s="494">
        <v>28</v>
      </c>
      <c r="H362" s="495" cm="1">
        <f t="array" aca="1" ref="H36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62" s="498" t="str">
        <f ca="1">IF(Inventarisatie[[#This Row],[Freq. Ma-Vr]]=0,0,IF(ISNUMBER(SEARCH("/",_xlfn.XLOOKUP(Inventarisatie[[#This Row],[Locatie]],Tabel2[Locatiecode],Tabel2[Basisfrequentie],0,0))),VLOOKUP("za",WkDagen[],YEAR(NOW())-2020,FALSE),""))</f>
        <v/>
      </c>
      <c r="J36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62" s="498" t="str">
        <f ca="1">IF(Inventarisatie[[#This Row],[Freq. Ma-Vr]]=0,0,IF(_xlfn.XLOOKUP(Inventarisatie[[#This Row],[Locatie]],Tabel2[Locatiecode],Tabel2[Basisfrequentie],0,0)=Locatieoverzicht!$F$47,VLOOKUP("fe",WkDagen[],YEAR(NOW())-2020,FALSE),""))</f>
        <v/>
      </c>
    </row>
    <row r="363" spans="1:11" x14ac:dyDescent="0.2">
      <c r="A363" s="493" t="s">
        <v>257</v>
      </c>
      <c r="B363" s="492" t="s">
        <v>301</v>
      </c>
      <c r="C363" s="493" t="s">
        <v>64</v>
      </c>
      <c r="D363" s="491" t="s">
        <v>24</v>
      </c>
      <c r="E363" s="493" t="s">
        <v>274</v>
      </c>
      <c r="F363" s="493" t="s">
        <v>273</v>
      </c>
      <c r="G363" s="494">
        <v>52</v>
      </c>
      <c r="H363" s="495" cm="1">
        <f t="array" aca="1" ref="H36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63" s="498" t="str">
        <f ca="1">IF(Inventarisatie[[#This Row],[Freq. Ma-Vr]]=0,0,IF(ISNUMBER(SEARCH("/",_xlfn.XLOOKUP(Inventarisatie[[#This Row],[Locatie]],Tabel2[Locatiecode],Tabel2[Basisfrequentie],0,0))),VLOOKUP("za",WkDagen[],YEAR(NOW())-2020,FALSE),""))</f>
        <v/>
      </c>
      <c r="J36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63" s="498" t="str">
        <f ca="1">IF(Inventarisatie[[#This Row],[Freq. Ma-Vr]]=0,0,IF(_xlfn.XLOOKUP(Inventarisatie[[#This Row],[Locatie]],Tabel2[Locatiecode],Tabel2[Basisfrequentie],0,0)=Locatieoverzicht!$F$47,VLOOKUP("fe",WkDagen[],YEAR(NOW())-2020,FALSE),""))</f>
        <v/>
      </c>
    </row>
    <row r="364" spans="1:11" x14ac:dyDescent="0.2">
      <c r="A364" s="493" t="s">
        <v>257</v>
      </c>
      <c r="B364" s="492" t="s">
        <v>301</v>
      </c>
      <c r="C364" s="493" t="s">
        <v>65</v>
      </c>
      <c r="D364" s="491" t="s">
        <v>308</v>
      </c>
      <c r="E364" s="493" t="s">
        <v>35</v>
      </c>
      <c r="F364" s="493" t="s">
        <v>273</v>
      </c>
      <c r="G364" s="494">
        <v>5.2</v>
      </c>
      <c r="H364" s="495" cm="1">
        <f t="array" aca="1" ref="H36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64" s="498" t="str">
        <f ca="1">IF(Inventarisatie[[#This Row],[Freq. Ma-Vr]]=0,0,IF(ISNUMBER(SEARCH("/",_xlfn.XLOOKUP(Inventarisatie[[#This Row],[Locatie]],Tabel2[Locatiecode],Tabel2[Basisfrequentie],0,0))),VLOOKUP("za",WkDagen[],YEAR(NOW())-2020,FALSE),""))</f>
        <v/>
      </c>
      <c r="J36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64" s="498" t="str">
        <f ca="1">IF(Inventarisatie[[#This Row],[Freq. Ma-Vr]]=0,0,IF(_xlfn.XLOOKUP(Inventarisatie[[#This Row],[Locatie]],Tabel2[Locatiecode],Tabel2[Basisfrequentie],0,0)=Locatieoverzicht!$F$47,VLOOKUP("fe",WkDagen[],YEAR(NOW())-2020,FALSE),""))</f>
        <v/>
      </c>
    </row>
    <row r="365" spans="1:11" x14ac:dyDescent="0.2">
      <c r="A365" s="493" t="s">
        <v>257</v>
      </c>
      <c r="B365" s="492" t="s">
        <v>301</v>
      </c>
      <c r="C365" s="493" t="s">
        <v>66</v>
      </c>
      <c r="D365" s="491" t="s">
        <v>311</v>
      </c>
      <c r="E365" s="493" t="s">
        <v>275</v>
      </c>
      <c r="F365" s="493" t="s">
        <v>273</v>
      </c>
      <c r="G365" s="494">
        <v>2.2999999999999998</v>
      </c>
      <c r="H365" s="495" cm="1">
        <f t="array" aca="1" ref="H36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65" s="498" t="str">
        <f ca="1">IF(Inventarisatie[[#This Row],[Freq. Ma-Vr]]=0,0,IF(ISNUMBER(SEARCH("/",_xlfn.XLOOKUP(Inventarisatie[[#This Row],[Locatie]],Tabel2[Locatiecode],Tabel2[Basisfrequentie],0,0))),VLOOKUP("za",WkDagen[],YEAR(NOW())-2020,FALSE),""))</f>
        <v/>
      </c>
      <c r="J36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65" s="498" t="str">
        <f ca="1">IF(Inventarisatie[[#This Row],[Freq. Ma-Vr]]=0,0,IF(_xlfn.XLOOKUP(Inventarisatie[[#This Row],[Locatie]],Tabel2[Locatiecode],Tabel2[Basisfrequentie],0,0)=Locatieoverzicht!$F$47,VLOOKUP("fe",WkDagen[],YEAR(NOW())-2020,FALSE),""))</f>
        <v/>
      </c>
    </row>
    <row r="366" spans="1:11" x14ac:dyDescent="0.2">
      <c r="A366" s="493" t="s">
        <v>257</v>
      </c>
      <c r="B366" s="492" t="s">
        <v>301</v>
      </c>
      <c r="C366" s="493" t="s">
        <v>67</v>
      </c>
      <c r="D366" s="491" t="s">
        <v>307</v>
      </c>
      <c r="E366" s="493" t="s">
        <v>276</v>
      </c>
      <c r="F366" s="493" t="s">
        <v>273</v>
      </c>
      <c r="G366" s="494">
        <v>5.4</v>
      </c>
      <c r="H366" s="495" cm="1">
        <f t="array" aca="1" ref="H36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66" s="498" t="str">
        <f ca="1">IF(Inventarisatie[[#This Row],[Freq. Ma-Vr]]=0,0,IF(ISNUMBER(SEARCH("/",_xlfn.XLOOKUP(Inventarisatie[[#This Row],[Locatie]],Tabel2[Locatiecode],Tabel2[Basisfrequentie],0,0))),VLOOKUP("za",WkDagen[],YEAR(NOW())-2020,FALSE),""))</f>
        <v/>
      </c>
      <c r="J36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66" s="498" t="str">
        <f ca="1">IF(Inventarisatie[[#This Row],[Freq. Ma-Vr]]=0,0,IF(_xlfn.XLOOKUP(Inventarisatie[[#This Row],[Locatie]],Tabel2[Locatiecode],Tabel2[Basisfrequentie],0,0)=Locatieoverzicht!$F$47,VLOOKUP("fe",WkDagen[],YEAR(NOW())-2020,FALSE),""))</f>
        <v/>
      </c>
    </row>
    <row r="367" spans="1:11" x14ac:dyDescent="0.2">
      <c r="A367" s="493" t="s">
        <v>257</v>
      </c>
      <c r="B367" s="492" t="s">
        <v>301</v>
      </c>
      <c r="C367" s="493" t="s">
        <v>68</v>
      </c>
      <c r="D367" s="491" t="s">
        <v>310</v>
      </c>
      <c r="E367" s="493" t="s">
        <v>5</v>
      </c>
      <c r="F367" s="493" t="s">
        <v>273</v>
      </c>
      <c r="G367" s="494">
        <v>22</v>
      </c>
      <c r="H367" s="495" cm="1">
        <f t="array" aca="1" ref="H36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67" s="498" t="str">
        <f ca="1">IF(Inventarisatie[[#This Row],[Freq. Ma-Vr]]=0,0,IF(ISNUMBER(SEARCH("/",_xlfn.XLOOKUP(Inventarisatie[[#This Row],[Locatie]],Tabel2[Locatiecode],Tabel2[Basisfrequentie],0,0))),VLOOKUP("za",WkDagen[],YEAR(NOW())-2020,FALSE),""))</f>
        <v/>
      </c>
      <c r="J36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67" s="498" t="str">
        <f ca="1">IF(Inventarisatie[[#This Row],[Freq. Ma-Vr]]=0,0,IF(_xlfn.XLOOKUP(Inventarisatie[[#This Row],[Locatie]],Tabel2[Locatiecode],Tabel2[Basisfrequentie],0,0)=Locatieoverzicht!$F$47,VLOOKUP("fe",WkDagen[],YEAR(NOW())-2020,FALSE),""))</f>
        <v/>
      </c>
    </row>
    <row r="368" spans="1:11" x14ac:dyDescent="0.2">
      <c r="A368" s="493" t="s">
        <v>257</v>
      </c>
      <c r="B368" s="492" t="s">
        <v>301</v>
      </c>
      <c r="C368" s="493" t="s">
        <v>72</v>
      </c>
      <c r="D368" s="491" t="s">
        <v>310</v>
      </c>
      <c r="E368" s="493" t="s">
        <v>5</v>
      </c>
      <c r="F368" s="493" t="s">
        <v>273</v>
      </c>
      <c r="G368" s="494">
        <v>22</v>
      </c>
      <c r="H368" s="495" cm="1">
        <f t="array" aca="1" ref="H36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68" s="498" t="str">
        <f ca="1">IF(Inventarisatie[[#This Row],[Freq. Ma-Vr]]=0,0,IF(ISNUMBER(SEARCH("/",_xlfn.XLOOKUP(Inventarisatie[[#This Row],[Locatie]],Tabel2[Locatiecode],Tabel2[Basisfrequentie],0,0))),VLOOKUP("za",WkDagen[],YEAR(NOW())-2020,FALSE),""))</f>
        <v/>
      </c>
      <c r="J36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68" s="498" t="str">
        <f ca="1">IF(Inventarisatie[[#This Row],[Freq. Ma-Vr]]=0,0,IF(_xlfn.XLOOKUP(Inventarisatie[[#This Row],[Locatie]],Tabel2[Locatiecode],Tabel2[Basisfrequentie],0,0)=Locatieoverzicht!$F$47,VLOOKUP("fe",WkDagen[],YEAR(NOW())-2020,FALSE),""))</f>
        <v/>
      </c>
    </row>
    <row r="369" spans="1:11" x14ac:dyDescent="0.2">
      <c r="A369" s="493" t="s">
        <v>257</v>
      </c>
      <c r="B369" s="500" t="s">
        <v>302</v>
      </c>
      <c r="C369" s="493" t="s">
        <v>9</v>
      </c>
      <c r="D369" s="491" t="s">
        <v>307</v>
      </c>
      <c r="E369" s="493" t="s">
        <v>277</v>
      </c>
      <c r="F369" s="493" t="s">
        <v>273</v>
      </c>
      <c r="G369" s="494">
        <v>27</v>
      </c>
      <c r="H369" s="495" cm="1">
        <f t="array" aca="1" ref="H36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69" s="498" t="str">
        <f ca="1">IF(Inventarisatie[[#This Row],[Freq. Ma-Vr]]=0,0,IF(ISNUMBER(SEARCH("/",_xlfn.XLOOKUP(Inventarisatie[[#This Row],[Locatie]],Tabel2[Locatiecode],Tabel2[Basisfrequentie],0,0))),VLOOKUP("za",WkDagen[],YEAR(NOW())-2020,FALSE),""))</f>
        <v/>
      </c>
      <c r="J36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69" s="498" t="str">
        <f ca="1">IF(Inventarisatie[[#This Row],[Freq. Ma-Vr]]=0,0,IF(_xlfn.XLOOKUP(Inventarisatie[[#This Row],[Locatie]],Tabel2[Locatiecode],Tabel2[Basisfrequentie],0,0)=Locatieoverzicht!$F$47,VLOOKUP("fe",WkDagen[],YEAR(NOW())-2020,FALSE),""))</f>
        <v/>
      </c>
    </row>
    <row r="370" spans="1:11" x14ac:dyDescent="0.2">
      <c r="A370" s="491" t="s">
        <v>167</v>
      </c>
      <c r="B370" s="492" t="s">
        <v>301</v>
      </c>
      <c r="C370" s="493" t="s">
        <v>72</v>
      </c>
      <c r="D370" s="491" t="s">
        <v>24</v>
      </c>
      <c r="E370" s="493" t="s">
        <v>24</v>
      </c>
      <c r="F370" s="493" t="s">
        <v>6</v>
      </c>
      <c r="G370" s="494">
        <v>41.9</v>
      </c>
      <c r="H370" s="495" cm="1">
        <f t="array" aca="1" ref="H37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70" s="498" t="str">
        <f ca="1">IF(Inventarisatie[[#This Row],[Freq. Ma-Vr]]=0,0,IF(ISNUMBER(SEARCH("/",_xlfn.XLOOKUP(Inventarisatie[[#This Row],[Locatie]],Tabel2[Locatiecode],Tabel2[Basisfrequentie],0,0))),VLOOKUP("za",WkDagen[],YEAR(NOW())-2020,FALSE),""))</f>
        <v/>
      </c>
      <c r="J37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70" s="498" t="str">
        <f ca="1">IF(Inventarisatie[[#This Row],[Freq. Ma-Vr]]=0,0,IF(_xlfn.XLOOKUP(Inventarisatie[[#This Row],[Locatie]],Tabel2[Locatiecode],Tabel2[Basisfrequentie],0,0)=Locatieoverzicht!$F$47,VLOOKUP("fe",WkDagen[],YEAR(NOW())-2020,FALSE),""))</f>
        <v/>
      </c>
    </row>
    <row r="371" spans="1:11" x14ac:dyDescent="0.2">
      <c r="A371" s="493" t="s">
        <v>167</v>
      </c>
      <c r="B371" s="492" t="s">
        <v>301</v>
      </c>
      <c r="C371" s="493" t="s">
        <v>86</v>
      </c>
      <c r="D371" s="491" t="s">
        <v>310</v>
      </c>
      <c r="E371" s="493" t="s">
        <v>5</v>
      </c>
      <c r="F371" s="497" t="s">
        <v>6</v>
      </c>
      <c r="G371" s="494">
        <v>21.8</v>
      </c>
      <c r="H371" s="495" cm="1">
        <f t="array" aca="1" ref="H37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71" s="498" t="str">
        <f ca="1">IF(Inventarisatie[[#This Row],[Freq. Ma-Vr]]=0,0,IF(ISNUMBER(SEARCH("/",_xlfn.XLOOKUP(Inventarisatie[[#This Row],[Locatie]],Tabel2[Locatiecode],Tabel2[Basisfrequentie],0,0))),VLOOKUP("za",WkDagen[],YEAR(NOW())-2020,FALSE),""))</f>
        <v/>
      </c>
      <c r="J37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71" s="498" t="str">
        <f ca="1">IF(Inventarisatie[[#This Row],[Freq. Ma-Vr]]=0,0,IF(_xlfn.XLOOKUP(Inventarisatie[[#This Row],[Locatie]],Tabel2[Locatiecode],Tabel2[Basisfrequentie],0,0)=Locatieoverzicht!$F$47,VLOOKUP("fe",WkDagen[],YEAR(NOW())-2020,FALSE),""))</f>
        <v/>
      </c>
    </row>
    <row r="372" spans="1:11" x14ac:dyDescent="0.2">
      <c r="A372" s="491" t="s">
        <v>167</v>
      </c>
      <c r="B372" s="492" t="s">
        <v>301</v>
      </c>
      <c r="C372" s="493" t="s">
        <v>148</v>
      </c>
      <c r="D372" s="491" t="s">
        <v>310</v>
      </c>
      <c r="E372" s="493" t="s">
        <v>5</v>
      </c>
      <c r="F372" s="493" t="s">
        <v>6</v>
      </c>
      <c r="G372" s="494">
        <v>22</v>
      </c>
      <c r="H372" s="495" cm="1">
        <f t="array" aca="1" ref="H37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72" s="498" t="str">
        <f ca="1">IF(Inventarisatie[[#This Row],[Freq. Ma-Vr]]=0,0,IF(ISNUMBER(SEARCH("/",_xlfn.XLOOKUP(Inventarisatie[[#This Row],[Locatie]],Tabel2[Locatiecode],Tabel2[Basisfrequentie],0,0))),VLOOKUP("za",WkDagen[],YEAR(NOW())-2020,FALSE),""))</f>
        <v/>
      </c>
      <c r="J37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72" s="498" t="str">
        <f ca="1">IF(Inventarisatie[[#This Row],[Freq. Ma-Vr]]=0,0,IF(_xlfn.XLOOKUP(Inventarisatie[[#This Row],[Locatie]],Tabel2[Locatiecode],Tabel2[Basisfrequentie],0,0)=Locatieoverzicht!$F$47,VLOOKUP("fe",WkDagen[],YEAR(NOW())-2020,FALSE),""))</f>
        <v/>
      </c>
    </row>
    <row r="373" spans="1:11" x14ac:dyDescent="0.2">
      <c r="A373" s="493" t="s">
        <v>167</v>
      </c>
      <c r="B373" s="492" t="s">
        <v>301</v>
      </c>
      <c r="C373" s="493" t="s">
        <v>81</v>
      </c>
      <c r="D373" s="491" t="s">
        <v>311</v>
      </c>
      <c r="E373" s="493" t="s">
        <v>143</v>
      </c>
      <c r="F373" s="497" t="s">
        <v>17</v>
      </c>
      <c r="G373" s="494">
        <v>2.5</v>
      </c>
      <c r="H373" s="495" cm="1">
        <f t="array" aca="1" ref="H37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73" s="498" t="str">
        <f ca="1">IF(Inventarisatie[[#This Row],[Freq. Ma-Vr]]=0,0,IF(ISNUMBER(SEARCH("/",_xlfn.XLOOKUP(Inventarisatie[[#This Row],[Locatie]],Tabel2[Locatiecode],Tabel2[Basisfrequentie],0,0))),VLOOKUP("za",WkDagen[],YEAR(NOW())-2020,FALSE),""))</f>
        <v/>
      </c>
      <c r="J37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73" s="498" t="str">
        <f ca="1">IF(Inventarisatie[[#This Row],[Freq. Ma-Vr]]=0,0,IF(_xlfn.XLOOKUP(Inventarisatie[[#This Row],[Locatie]],Tabel2[Locatiecode],Tabel2[Basisfrequentie],0,0)=Locatieoverzicht!$F$47,VLOOKUP("fe",WkDagen[],YEAR(NOW())-2020,FALSE),""))</f>
        <v/>
      </c>
    </row>
    <row r="374" spans="1:11" x14ac:dyDescent="0.2">
      <c r="A374" s="491" t="s">
        <v>167</v>
      </c>
      <c r="B374" s="492" t="s">
        <v>301</v>
      </c>
      <c r="C374" s="493" t="s">
        <v>168</v>
      </c>
      <c r="D374" s="491" t="s">
        <v>311</v>
      </c>
      <c r="E374" s="493" t="s">
        <v>16</v>
      </c>
      <c r="F374" s="493" t="s">
        <v>17</v>
      </c>
      <c r="G374" s="494">
        <v>1.1000000000000001</v>
      </c>
      <c r="H374" s="495" cm="1">
        <f t="array" aca="1" ref="H37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74" s="498" t="str">
        <f ca="1">IF(Inventarisatie[[#This Row],[Freq. Ma-Vr]]=0,0,IF(ISNUMBER(SEARCH("/",_xlfn.XLOOKUP(Inventarisatie[[#This Row],[Locatie]],Tabel2[Locatiecode],Tabel2[Basisfrequentie],0,0))),VLOOKUP("za",WkDagen[],YEAR(NOW())-2020,FALSE),""))</f>
        <v/>
      </c>
      <c r="J37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74" s="498" t="str">
        <f ca="1">IF(Inventarisatie[[#This Row],[Freq. Ma-Vr]]=0,0,IF(_xlfn.XLOOKUP(Inventarisatie[[#This Row],[Locatie]],Tabel2[Locatiecode],Tabel2[Basisfrequentie],0,0)=Locatieoverzicht!$F$47,VLOOKUP("fe",WkDagen[],YEAR(NOW())-2020,FALSE),""))</f>
        <v/>
      </c>
    </row>
    <row r="375" spans="1:11" x14ac:dyDescent="0.2">
      <c r="A375" s="493" t="s">
        <v>167</v>
      </c>
      <c r="B375" s="492" t="s">
        <v>301</v>
      </c>
      <c r="C375" s="493" t="s">
        <v>169</v>
      </c>
      <c r="D375" s="491" t="s">
        <v>311</v>
      </c>
      <c r="E375" s="493" t="s">
        <v>16</v>
      </c>
      <c r="F375" s="497" t="s">
        <v>17</v>
      </c>
      <c r="G375" s="494">
        <v>1.1000000000000001</v>
      </c>
      <c r="H375" s="495" cm="1">
        <f t="array" aca="1" ref="H37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75" s="498" t="str">
        <f ca="1">IF(Inventarisatie[[#This Row],[Freq. Ma-Vr]]=0,0,IF(ISNUMBER(SEARCH("/",_xlfn.XLOOKUP(Inventarisatie[[#This Row],[Locatie]],Tabel2[Locatiecode],Tabel2[Basisfrequentie],0,0))),VLOOKUP("za",WkDagen[],YEAR(NOW())-2020,FALSE),""))</f>
        <v/>
      </c>
      <c r="J37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75" s="498" t="str">
        <f ca="1">IF(Inventarisatie[[#This Row],[Freq. Ma-Vr]]=0,0,IF(_xlfn.XLOOKUP(Inventarisatie[[#This Row],[Locatie]],Tabel2[Locatiecode],Tabel2[Basisfrequentie],0,0)=Locatieoverzicht!$F$47,VLOOKUP("fe",WkDagen[],YEAR(NOW())-2020,FALSE),""))</f>
        <v/>
      </c>
    </row>
    <row r="376" spans="1:11" x14ac:dyDescent="0.2">
      <c r="A376" s="491" t="s">
        <v>167</v>
      </c>
      <c r="B376" s="492" t="s">
        <v>301</v>
      </c>
      <c r="C376" s="493" t="s">
        <v>91</v>
      </c>
      <c r="D376" s="491" t="s">
        <v>312</v>
      </c>
      <c r="E376" s="493" t="s">
        <v>14</v>
      </c>
      <c r="F376" s="493" t="s">
        <v>6</v>
      </c>
      <c r="G376" s="494">
        <v>6.7</v>
      </c>
      <c r="H376" s="495" cm="1">
        <f t="array" aca="1" ref="H37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76" s="498" t="str">
        <f ca="1">IF(Inventarisatie[[#This Row],[Freq. Ma-Vr]]=0,0,IF(ISNUMBER(SEARCH("/",_xlfn.XLOOKUP(Inventarisatie[[#This Row],[Locatie]],Tabel2[Locatiecode],Tabel2[Basisfrequentie],0,0))),VLOOKUP("za",WkDagen[],YEAR(NOW())-2020,FALSE),""))</f>
        <v/>
      </c>
      <c r="J37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76" s="498" t="str">
        <f ca="1">IF(Inventarisatie[[#This Row],[Freq. Ma-Vr]]=0,0,IF(_xlfn.XLOOKUP(Inventarisatie[[#This Row],[Locatie]],Tabel2[Locatiecode],Tabel2[Basisfrequentie],0,0)=Locatieoverzicht!$F$47,VLOOKUP("fe",WkDagen[],YEAR(NOW())-2020,FALSE),""))</f>
        <v/>
      </c>
    </row>
    <row r="377" spans="1:11" x14ac:dyDescent="0.2">
      <c r="A377" s="493" t="s">
        <v>167</v>
      </c>
      <c r="B377" s="492" t="s">
        <v>301</v>
      </c>
      <c r="C377" s="493" t="s">
        <v>77</v>
      </c>
      <c r="D377" s="491" t="s">
        <v>310</v>
      </c>
      <c r="E377" s="493" t="s">
        <v>5</v>
      </c>
      <c r="F377" s="497" t="s">
        <v>6</v>
      </c>
      <c r="G377" s="494">
        <v>21</v>
      </c>
      <c r="H377" s="495" cm="1">
        <f t="array" aca="1" ref="H37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77" s="498" t="str">
        <f ca="1">IF(Inventarisatie[[#This Row],[Freq. Ma-Vr]]=0,0,IF(ISNUMBER(SEARCH("/",_xlfn.XLOOKUP(Inventarisatie[[#This Row],[Locatie]],Tabel2[Locatiecode],Tabel2[Basisfrequentie],0,0))),VLOOKUP("za",WkDagen[],YEAR(NOW())-2020,FALSE),""))</f>
        <v/>
      </c>
      <c r="J37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77" s="498" t="str">
        <f ca="1">IF(Inventarisatie[[#This Row],[Freq. Ma-Vr]]=0,0,IF(_xlfn.XLOOKUP(Inventarisatie[[#This Row],[Locatie]],Tabel2[Locatiecode],Tabel2[Basisfrequentie],0,0)=Locatieoverzicht!$F$47,VLOOKUP("fe",WkDagen[],YEAR(NOW())-2020,FALSE),""))</f>
        <v/>
      </c>
    </row>
    <row r="378" spans="1:11" x14ac:dyDescent="0.2">
      <c r="A378" s="491" t="s">
        <v>167</v>
      </c>
      <c r="B378" s="492" t="s">
        <v>301</v>
      </c>
      <c r="C378" s="493" t="s">
        <v>78</v>
      </c>
      <c r="D378" s="491" t="s">
        <v>312</v>
      </c>
      <c r="E378" s="493" t="s">
        <v>41</v>
      </c>
      <c r="F378" s="493" t="s">
        <v>17</v>
      </c>
      <c r="G378" s="494">
        <v>31.5</v>
      </c>
      <c r="H378" s="495" cm="1">
        <f t="array" aca="1" ref="H37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78" s="498" t="str">
        <f ca="1">IF(Inventarisatie[[#This Row],[Freq. Ma-Vr]]=0,0,IF(ISNUMBER(SEARCH("/",_xlfn.XLOOKUP(Inventarisatie[[#This Row],[Locatie]],Tabel2[Locatiecode],Tabel2[Basisfrequentie],0,0))),VLOOKUP("za",WkDagen[],YEAR(NOW())-2020,FALSE),""))</f>
        <v/>
      </c>
      <c r="J37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78" s="498" t="str">
        <f ca="1">IF(Inventarisatie[[#This Row],[Freq. Ma-Vr]]=0,0,IF(_xlfn.XLOOKUP(Inventarisatie[[#This Row],[Locatie]],Tabel2[Locatiecode],Tabel2[Basisfrequentie],0,0)=Locatieoverzicht!$F$47,VLOOKUP("fe",WkDagen[],YEAR(NOW())-2020,FALSE),""))</f>
        <v/>
      </c>
    </row>
    <row r="379" spans="1:11" x14ac:dyDescent="0.2">
      <c r="A379" s="493" t="s">
        <v>170</v>
      </c>
      <c r="B379" s="492" t="s">
        <v>302</v>
      </c>
      <c r="C379" s="493"/>
      <c r="D379" s="491" t="s">
        <v>312</v>
      </c>
      <c r="E379" s="493" t="s">
        <v>94</v>
      </c>
      <c r="F379" s="493" t="s">
        <v>6</v>
      </c>
      <c r="G379" s="494">
        <v>27.5</v>
      </c>
      <c r="H379" s="495" cm="1">
        <f t="array" aca="1" ref="H37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79" s="498" t="str">
        <f ca="1">IF(Inventarisatie[[#This Row],[Freq. Ma-Vr]]=0,0,IF(ISNUMBER(SEARCH("/",_xlfn.XLOOKUP(Inventarisatie[[#This Row],[Locatie]],Tabel2[Locatiecode],Tabel2[Basisfrequentie],0,0))),VLOOKUP("za",WkDagen[],YEAR(NOW())-2020,FALSE),""))</f>
        <v/>
      </c>
      <c r="J37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79" s="498" t="str">
        <f ca="1">IF(Inventarisatie[[#This Row],[Freq. Ma-Vr]]=0,0,IF(_xlfn.XLOOKUP(Inventarisatie[[#This Row],[Locatie]],Tabel2[Locatiecode],Tabel2[Basisfrequentie],0,0)=Locatieoverzicht!$F$47,VLOOKUP("fe",WkDagen[],YEAR(NOW())-2020,FALSE),""))</f>
        <v/>
      </c>
    </row>
    <row r="380" spans="1:11" x14ac:dyDescent="0.2">
      <c r="A380" s="493" t="s">
        <v>170</v>
      </c>
      <c r="B380" s="492" t="s">
        <v>302</v>
      </c>
      <c r="C380" s="493"/>
      <c r="D380" s="491" t="s">
        <v>310</v>
      </c>
      <c r="E380" s="493" t="s">
        <v>19</v>
      </c>
      <c r="F380" s="493" t="s">
        <v>6</v>
      </c>
      <c r="G380" s="494">
        <v>45.9</v>
      </c>
      <c r="H380" s="495" cm="1">
        <f t="array" aca="1" ref="H38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80" s="498" t="str">
        <f ca="1">IF(Inventarisatie[[#This Row],[Freq. Ma-Vr]]=0,0,IF(ISNUMBER(SEARCH("/",_xlfn.XLOOKUP(Inventarisatie[[#This Row],[Locatie]],Tabel2[Locatiecode],Tabel2[Basisfrequentie],0,0))),VLOOKUP("za",WkDagen[],YEAR(NOW())-2020,FALSE),""))</f>
        <v/>
      </c>
      <c r="J38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80" s="498" t="str">
        <f ca="1">IF(Inventarisatie[[#This Row],[Freq. Ma-Vr]]=0,0,IF(_xlfn.XLOOKUP(Inventarisatie[[#This Row],[Locatie]],Tabel2[Locatiecode],Tabel2[Basisfrequentie],0,0)=Locatieoverzicht!$F$47,VLOOKUP("fe",WkDagen[],YEAR(NOW())-2020,FALSE),""))</f>
        <v/>
      </c>
    </row>
    <row r="381" spans="1:11" x14ac:dyDescent="0.2">
      <c r="A381" s="493" t="s">
        <v>170</v>
      </c>
      <c r="B381" s="492" t="s">
        <v>302</v>
      </c>
      <c r="C381" s="493"/>
      <c r="D381" s="491" t="s">
        <v>310</v>
      </c>
      <c r="E381" s="493" t="s">
        <v>5</v>
      </c>
      <c r="F381" s="493" t="s">
        <v>6</v>
      </c>
      <c r="G381" s="494">
        <v>21.2</v>
      </c>
      <c r="H381" s="495" cm="1">
        <f t="array" aca="1" ref="H38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81" s="498" t="str">
        <f ca="1">IF(Inventarisatie[[#This Row],[Freq. Ma-Vr]]=0,0,IF(ISNUMBER(SEARCH("/",_xlfn.XLOOKUP(Inventarisatie[[#This Row],[Locatie]],Tabel2[Locatiecode],Tabel2[Basisfrequentie],0,0))),VLOOKUP("za",WkDagen[],YEAR(NOW())-2020,FALSE),""))</f>
        <v/>
      </c>
      <c r="J38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81" s="498" t="str">
        <f ca="1">IF(Inventarisatie[[#This Row],[Freq. Ma-Vr]]=0,0,IF(_xlfn.XLOOKUP(Inventarisatie[[#This Row],[Locatie]],Tabel2[Locatiecode],Tabel2[Basisfrequentie],0,0)=Locatieoverzicht!$F$47,VLOOKUP("fe",WkDagen[],YEAR(NOW())-2020,FALSE),""))</f>
        <v/>
      </c>
    </row>
    <row r="382" spans="1:11" x14ac:dyDescent="0.2">
      <c r="A382" s="493" t="s">
        <v>170</v>
      </c>
      <c r="B382" s="492" t="s">
        <v>302</v>
      </c>
      <c r="C382" s="493"/>
      <c r="D382" s="491" t="s">
        <v>310</v>
      </c>
      <c r="E382" s="493" t="s">
        <v>5</v>
      </c>
      <c r="F382" s="493" t="s">
        <v>6</v>
      </c>
      <c r="G382" s="494">
        <v>22.2</v>
      </c>
      <c r="H382" s="495" cm="1">
        <f t="array" aca="1" ref="H38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82" s="498" t="str">
        <f ca="1">IF(Inventarisatie[[#This Row],[Freq. Ma-Vr]]=0,0,IF(ISNUMBER(SEARCH("/",_xlfn.XLOOKUP(Inventarisatie[[#This Row],[Locatie]],Tabel2[Locatiecode],Tabel2[Basisfrequentie],0,0))),VLOOKUP("za",WkDagen[],YEAR(NOW())-2020,FALSE),""))</f>
        <v/>
      </c>
      <c r="J38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82" s="498" t="str">
        <f ca="1">IF(Inventarisatie[[#This Row],[Freq. Ma-Vr]]=0,0,IF(_xlfn.XLOOKUP(Inventarisatie[[#This Row],[Locatie]],Tabel2[Locatiecode],Tabel2[Basisfrequentie],0,0)=Locatieoverzicht!$F$47,VLOOKUP("fe",WkDagen[],YEAR(NOW())-2020,FALSE),""))</f>
        <v/>
      </c>
    </row>
    <row r="383" spans="1:11" x14ac:dyDescent="0.2">
      <c r="A383" s="493" t="s">
        <v>170</v>
      </c>
      <c r="B383" s="492" t="s">
        <v>302</v>
      </c>
      <c r="C383" s="493"/>
      <c r="D383" s="491" t="s">
        <v>310</v>
      </c>
      <c r="E383" s="493" t="s">
        <v>5</v>
      </c>
      <c r="F383" s="493" t="s">
        <v>6</v>
      </c>
      <c r="G383" s="494">
        <v>22.2</v>
      </c>
      <c r="H383" s="495" cm="1">
        <f t="array" aca="1" ref="H38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83" s="498" t="str">
        <f ca="1">IF(Inventarisatie[[#This Row],[Freq. Ma-Vr]]=0,0,IF(ISNUMBER(SEARCH("/",_xlfn.XLOOKUP(Inventarisatie[[#This Row],[Locatie]],Tabel2[Locatiecode],Tabel2[Basisfrequentie],0,0))),VLOOKUP("za",WkDagen[],YEAR(NOW())-2020,FALSE),""))</f>
        <v/>
      </c>
      <c r="J38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83" s="498" t="str">
        <f ca="1">IF(Inventarisatie[[#This Row],[Freq. Ma-Vr]]=0,0,IF(_xlfn.XLOOKUP(Inventarisatie[[#This Row],[Locatie]],Tabel2[Locatiecode],Tabel2[Basisfrequentie],0,0)=Locatieoverzicht!$F$47,VLOOKUP("fe",WkDagen[],YEAR(NOW())-2020,FALSE),""))</f>
        <v/>
      </c>
    </row>
    <row r="384" spans="1:11" x14ac:dyDescent="0.2">
      <c r="A384" s="493" t="s">
        <v>170</v>
      </c>
      <c r="B384" s="492" t="s">
        <v>302</v>
      </c>
      <c r="C384" s="493"/>
      <c r="D384" s="491" t="s">
        <v>310</v>
      </c>
      <c r="E384" s="493" t="s">
        <v>5</v>
      </c>
      <c r="F384" s="493" t="s">
        <v>6</v>
      </c>
      <c r="G384" s="494">
        <v>22.3</v>
      </c>
      <c r="H384" s="495" cm="1">
        <f t="array" aca="1" ref="H38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84" s="498" t="str">
        <f ca="1">IF(Inventarisatie[[#This Row],[Freq. Ma-Vr]]=0,0,IF(ISNUMBER(SEARCH("/",_xlfn.XLOOKUP(Inventarisatie[[#This Row],[Locatie]],Tabel2[Locatiecode],Tabel2[Basisfrequentie],0,0))),VLOOKUP("za",WkDagen[],YEAR(NOW())-2020,FALSE),""))</f>
        <v/>
      </c>
      <c r="J38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84" s="498" t="str">
        <f ca="1">IF(Inventarisatie[[#This Row],[Freq. Ma-Vr]]=0,0,IF(_xlfn.XLOOKUP(Inventarisatie[[#This Row],[Locatie]],Tabel2[Locatiecode],Tabel2[Basisfrequentie],0,0)=Locatieoverzicht!$F$47,VLOOKUP("fe",WkDagen[],YEAR(NOW())-2020,FALSE),""))</f>
        <v/>
      </c>
    </row>
    <row r="385" spans="1:11" x14ac:dyDescent="0.2">
      <c r="A385" s="493" t="s">
        <v>170</v>
      </c>
      <c r="B385" s="492" t="s">
        <v>302</v>
      </c>
      <c r="C385" s="493"/>
      <c r="D385" s="491" t="s">
        <v>310</v>
      </c>
      <c r="E385" s="493" t="s">
        <v>5</v>
      </c>
      <c r="F385" s="493" t="s">
        <v>6</v>
      </c>
      <c r="G385" s="494">
        <v>23.2</v>
      </c>
      <c r="H385" s="495" cm="1">
        <f t="array" aca="1" ref="H38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85" s="498" t="str">
        <f ca="1">IF(Inventarisatie[[#This Row],[Freq. Ma-Vr]]=0,0,IF(ISNUMBER(SEARCH("/",_xlfn.XLOOKUP(Inventarisatie[[#This Row],[Locatie]],Tabel2[Locatiecode],Tabel2[Basisfrequentie],0,0))),VLOOKUP("za",WkDagen[],YEAR(NOW())-2020,FALSE),""))</f>
        <v/>
      </c>
      <c r="J38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85" s="498" t="str">
        <f ca="1">IF(Inventarisatie[[#This Row],[Freq. Ma-Vr]]=0,0,IF(_xlfn.XLOOKUP(Inventarisatie[[#This Row],[Locatie]],Tabel2[Locatiecode],Tabel2[Basisfrequentie],0,0)=Locatieoverzicht!$F$47,VLOOKUP("fe",WkDagen[],YEAR(NOW())-2020,FALSE),""))</f>
        <v/>
      </c>
    </row>
    <row r="386" spans="1:11" x14ac:dyDescent="0.2">
      <c r="A386" s="493" t="s">
        <v>170</v>
      </c>
      <c r="B386" s="492" t="s">
        <v>302</v>
      </c>
      <c r="C386" s="493"/>
      <c r="D386" s="491" t="s">
        <v>310</v>
      </c>
      <c r="E386" s="493" t="s">
        <v>5</v>
      </c>
      <c r="F386" s="493" t="s">
        <v>6</v>
      </c>
      <c r="G386" s="494">
        <v>6.9</v>
      </c>
      <c r="H386" s="495" cm="1">
        <f t="array" aca="1" ref="H38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86" s="498" t="str">
        <f ca="1">IF(Inventarisatie[[#This Row],[Freq. Ma-Vr]]=0,0,IF(ISNUMBER(SEARCH("/",_xlfn.XLOOKUP(Inventarisatie[[#This Row],[Locatie]],Tabel2[Locatiecode],Tabel2[Basisfrequentie],0,0))),VLOOKUP("za",WkDagen[],YEAR(NOW())-2020,FALSE),""))</f>
        <v/>
      </c>
      <c r="J38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86" s="498" t="str">
        <f ca="1">IF(Inventarisatie[[#This Row],[Freq. Ma-Vr]]=0,0,IF(_xlfn.XLOOKUP(Inventarisatie[[#This Row],[Locatie]],Tabel2[Locatiecode],Tabel2[Basisfrequentie],0,0)=Locatieoverzicht!$F$47,VLOOKUP("fe",WkDagen[],YEAR(NOW())-2020,FALSE),""))</f>
        <v/>
      </c>
    </row>
    <row r="387" spans="1:11" x14ac:dyDescent="0.2">
      <c r="A387" s="493" t="s">
        <v>170</v>
      </c>
      <c r="B387" s="492" t="s">
        <v>302</v>
      </c>
      <c r="C387" s="493"/>
      <c r="D387" s="491" t="s">
        <v>311</v>
      </c>
      <c r="E387" s="493" t="s">
        <v>16</v>
      </c>
      <c r="F387" s="493" t="s">
        <v>17</v>
      </c>
      <c r="G387" s="494">
        <v>1.3</v>
      </c>
      <c r="H387" s="495" cm="1">
        <f t="array" aca="1" ref="H38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87" s="498" t="str">
        <f ca="1">IF(Inventarisatie[[#This Row],[Freq. Ma-Vr]]=0,0,IF(ISNUMBER(SEARCH("/",_xlfn.XLOOKUP(Inventarisatie[[#This Row],[Locatie]],Tabel2[Locatiecode],Tabel2[Basisfrequentie],0,0))),VLOOKUP("za",WkDagen[],YEAR(NOW())-2020,FALSE),""))</f>
        <v/>
      </c>
      <c r="J38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87" s="498" t="str">
        <f ca="1">IF(Inventarisatie[[#This Row],[Freq. Ma-Vr]]=0,0,IF(_xlfn.XLOOKUP(Inventarisatie[[#This Row],[Locatie]],Tabel2[Locatiecode],Tabel2[Basisfrequentie],0,0)=Locatieoverzicht!$F$47,VLOOKUP("fe",WkDagen[],YEAR(NOW())-2020,FALSE),""))</f>
        <v/>
      </c>
    </row>
    <row r="388" spans="1:11" x14ac:dyDescent="0.2">
      <c r="A388" s="493" t="s">
        <v>170</v>
      </c>
      <c r="B388" s="492" t="s">
        <v>302</v>
      </c>
      <c r="C388" s="493"/>
      <c r="D388" s="491" t="s">
        <v>311</v>
      </c>
      <c r="E388" s="493" t="s">
        <v>16</v>
      </c>
      <c r="F388" s="493" t="s">
        <v>17</v>
      </c>
      <c r="G388" s="494">
        <v>1.3</v>
      </c>
      <c r="H388" s="495" cm="1">
        <f t="array" aca="1" ref="H38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88" s="498" t="str">
        <f ca="1">IF(Inventarisatie[[#This Row],[Freq. Ma-Vr]]=0,0,IF(ISNUMBER(SEARCH("/",_xlfn.XLOOKUP(Inventarisatie[[#This Row],[Locatie]],Tabel2[Locatiecode],Tabel2[Basisfrequentie],0,0))),VLOOKUP("za",WkDagen[],YEAR(NOW())-2020,FALSE),""))</f>
        <v/>
      </c>
      <c r="J38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88" s="498" t="str">
        <f ca="1">IF(Inventarisatie[[#This Row],[Freq. Ma-Vr]]=0,0,IF(_xlfn.XLOOKUP(Inventarisatie[[#This Row],[Locatie]],Tabel2[Locatiecode],Tabel2[Basisfrequentie],0,0)=Locatieoverzicht!$F$47,VLOOKUP("fe",WkDagen[],YEAR(NOW())-2020,FALSE),""))</f>
        <v/>
      </c>
    </row>
    <row r="389" spans="1:11" x14ac:dyDescent="0.2">
      <c r="A389" s="493" t="s">
        <v>170</v>
      </c>
      <c r="B389" s="492" t="s">
        <v>302</v>
      </c>
      <c r="C389" s="493"/>
      <c r="D389" s="491" t="s">
        <v>24</v>
      </c>
      <c r="E389" s="493" t="s">
        <v>24</v>
      </c>
      <c r="F389" s="493" t="s">
        <v>6</v>
      </c>
      <c r="G389" s="494">
        <v>59.9</v>
      </c>
      <c r="H389" s="495" cm="1">
        <f t="array" aca="1" ref="H38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89" s="498" t="str">
        <f ca="1">IF(Inventarisatie[[#This Row],[Freq. Ma-Vr]]=0,0,IF(ISNUMBER(SEARCH("/",_xlfn.XLOOKUP(Inventarisatie[[#This Row],[Locatie]],Tabel2[Locatiecode],Tabel2[Basisfrequentie],0,0))),VLOOKUP("za",WkDagen[],YEAR(NOW())-2020,FALSE),""))</f>
        <v/>
      </c>
      <c r="J38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89" s="498" t="str">
        <f ca="1">IF(Inventarisatie[[#This Row],[Freq. Ma-Vr]]=0,0,IF(_xlfn.XLOOKUP(Inventarisatie[[#This Row],[Locatie]],Tabel2[Locatiecode],Tabel2[Basisfrequentie],0,0)=Locatieoverzicht!$F$47,VLOOKUP("fe",WkDagen[],YEAR(NOW())-2020,FALSE),""))</f>
        <v/>
      </c>
    </row>
    <row r="390" spans="1:11" x14ac:dyDescent="0.2">
      <c r="A390" s="493" t="s">
        <v>170</v>
      </c>
      <c r="B390" s="492" t="s">
        <v>302</v>
      </c>
      <c r="C390" s="493"/>
      <c r="D390" s="491" t="s">
        <v>312</v>
      </c>
      <c r="E390" s="493" t="s">
        <v>41</v>
      </c>
      <c r="F390" s="493" t="s">
        <v>6</v>
      </c>
      <c r="G390" s="494">
        <v>10.4</v>
      </c>
      <c r="H390" s="495" cm="1">
        <f t="array" aca="1" ref="H39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90" s="498" t="str">
        <f ca="1">IF(Inventarisatie[[#This Row],[Freq. Ma-Vr]]=0,0,IF(ISNUMBER(SEARCH("/",_xlfn.XLOOKUP(Inventarisatie[[#This Row],[Locatie]],Tabel2[Locatiecode],Tabel2[Basisfrequentie],0,0))),VLOOKUP("za",WkDagen[],YEAR(NOW())-2020,FALSE),""))</f>
        <v/>
      </c>
      <c r="J39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90" s="498" t="str">
        <f ca="1">IF(Inventarisatie[[#This Row],[Freq. Ma-Vr]]=0,0,IF(_xlfn.XLOOKUP(Inventarisatie[[#This Row],[Locatie]],Tabel2[Locatiecode],Tabel2[Basisfrequentie],0,0)=Locatieoverzicht!$F$47,VLOOKUP("fe",WkDagen[],YEAR(NOW())-2020,FALSE),""))</f>
        <v/>
      </c>
    </row>
    <row r="391" spans="1:11" x14ac:dyDescent="0.2">
      <c r="A391" s="493" t="s">
        <v>170</v>
      </c>
      <c r="B391" s="492" t="s">
        <v>302</v>
      </c>
      <c r="C391" s="493"/>
      <c r="D391" s="491" t="s">
        <v>310</v>
      </c>
      <c r="E391" s="493" t="s">
        <v>5</v>
      </c>
      <c r="F391" s="493" t="s">
        <v>6</v>
      </c>
      <c r="G391" s="494">
        <v>11.8</v>
      </c>
      <c r="H391" s="495" cm="1">
        <f t="array" aca="1" ref="H39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91" s="498" t="str">
        <f ca="1">IF(Inventarisatie[[#This Row],[Freq. Ma-Vr]]=0,0,IF(ISNUMBER(SEARCH("/",_xlfn.XLOOKUP(Inventarisatie[[#This Row],[Locatie]],Tabel2[Locatiecode],Tabel2[Basisfrequentie],0,0))),VLOOKUP("za",WkDagen[],YEAR(NOW())-2020,FALSE),""))</f>
        <v/>
      </c>
      <c r="J39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91" s="498" t="str">
        <f ca="1">IF(Inventarisatie[[#This Row],[Freq. Ma-Vr]]=0,0,IF(_xlfn.XLOOKUP(Inventarisatie[[#This Row],[Locatie]],Tabel2[Locatiecode],Tabel2[Basisfrequentie],0,0)=Locatieoverzicht!$F$47,VLOOKUP("fe",WkDagen[],YEAR(NOW())-2020,FALSE),""))</f>
        <v/>
      </c>
    </row>
    <row r="392" spans="1:11" x14ac:dyDescent="0.2">
      <c r="A392" s="493" t="s">
        <v>170</v>
      </c>
      <c r="B392" s="492" t="s">
        <v>302</v>
      </c>
      <c r="C392" s="493"/>
      <c r="D392" s="491" t="s">
        <v>310</v>
      </c>
      <c r="E392" s="493" t="s">
        <v>5</v>
      </c>
      <c r="F392" s="493" t="s">
        <v>6</v>
      </c>
      <c r="G392" s="494">
        <v>22.3</v>
      </c>
      <c r="H392" s="495" cm="1">
        <f t="array" aca="1" ref="H39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92" s="498" t="str">
        <f ca="1">IF(Inventarisatie[[#This Row],[Freq. Ma-Vr]]=0,0,IF(ISNUMBER(SEARCH("/",_xlfn.XLOOKUP(Inventarisatie[[#This Row],[Locatie]],Tabel2[Locatiecode],Tabel2[Basisfrequentie],0,0))),VLOOKUP("za",WkDagen[],YEAR(NOW())-2020,FALSE),""))</f>
        <v/>
      </c>
      <c r="J39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92" s="498" t="str">
        <f ca="1">IF(Inventarisatie[[#This Row],[Freq. Ma-Vr]]=0,0,IF(_xlfn.XLOOKUP(Inventarisatie[[#This Row],[Locatie]],Tabel2[Locatiecode],Tabel2[Basisfrequentie],0,0)=Locatieoverzicht!$F$47,VLOOKUP("fe",WkDagen[],YEAR(NOW())-2020,FALSE),""))</f>
        <v/>
      </c>
    </row>
    <row r="393" spans="1:11" x14ac:dyDescent="0.2">
      <c r="A393" s="493" t="s">
        <v>170</v>
      </c>
      <c r="B393" s="492" t="s">
        <v>302</v>
      </c>
      <c r="C393" s="493"/>
      <c r="D393" s="491" t="s">
        <v>310</v>
      </c>
      <c r="E393" s="493" t="s">
        <v>5</v>
      </c>
      <c r="F393" s="493" t="s">
        <v>6</v>
      </c>
      <c r="G393" s="494">
        <v>22.3</v>
      </c>
      <c r="H393" s="495" cm="1">
        <f t="array" aca="1" ref="H39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93" s="498" t="str">
        <f ca="1">IF(Inventarisatie[[#This Row],[Freq. Ma-Vr]]=0,0,IF(ISNUMBER(SEARCH("/",_xlfn.XLOOKUP(Inventarisatie[[#This Row],[Locatie]],Tabel2[Locatiecode],Tabel2[Basisfrequentie],0,0))),VLOOKUP("za",WkDagen[],YEAR(NOW())-2020,FALSE),""))</f>
        <v/>
      </c>
      <c r="J39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93" s="498" t="str">
        <f ca="1">IF(Inventarisatie[[#This Row],[Freq. Ma-Vr]]=0,0,IF(_xlfn.XLOOKUP(Inventarisatie[[#This Row],[Locatie]],Tabel2[Locatiecode],Tabel2[Basisfrequentie],0,0)=Locatieoverzicht!$F$47,VLOOKUP("fe",WkDagen[],YEAR(NOW())-2020,FALSE),""))</f>
        <v/>
      </c>
    </row>
    <row r="394" spans="1:11" x14ac:dyDescent="0.2">
      <c r="A394" s="493" t="s">
        <v>170</v>
      </c>
      <c r="B394" s="492" t="s">
        <v>302</v>
      </c>
      <c r="C394" s="493"/>
      <c r="D394" s="491" t="s">
        <v>312</v>
      </c>
      <c r="E394" s="493" t="s">
        <v>162</v>
      </c>
      <c r="F394" s="493" t="s">
        <v>6</v>
      </c>
      <c r="G394" s="494">
        <v>17.100000000000001</v>
      </c>
      <c r="H394" s="495" cm="1">
        <f t="array" aca="1" ref="H39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94" s="498" t="str">
        <f ca="1">IF(Inventarisatie[[#This Row],[Freq. Ma-Vr]]=0,0,IF(ISNUMBER(SEARCH("/",_xlfn.XLOOKUP(Inventarisatie[[#This Row],[Locatie]],Tabel2[Locatiecode],Tabel2[Basisfrequentie],0,0))),VLOOKUP("za",WkDagen[],YEAR(NOW())-2020,FALSE),""))</f>
        <v/>
      </c>
      <c r="J39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94" s="498" t="str">
        <f ca="1">IF(Inventarisatie[[#This Row],[Freq. Ma-Vr]]=0,0,IF(_xlfn.XLOOKUP(Inventarisatie[[#This Row],[Locatie]],Tabel2[Locatiecode],Tabel2[Basisfrequentie],0,0)=Locatieoverzicht!$F$47,VLOOKUP("fe",WkDagen[],YEAR(NOW())-2020,FALSE),""))</f>
        <v/>
      </c>
    </row>
    <row r="395" spans="1:11" x14ac:dyDescent="0.2">
      <c r="A395" s="493" t="s">
        <v>170</v>
      </c>
      <c r="B395" s="492" t="s">
        <v>302</v>
      </c>
      <c r="C395" s="493"/>
      <c r="D395" s="491" t="s">
        <v>312</v>
      </c>
      <c r="E395" s="493" t="s">
        <v>21</v>
      </c>
      <c r="F395" s="493" t="s">
        <v>6</v>
      </c>
      <c r="G395" s="494">
        <v>2.9</v>
      </c>
      <c r="H395" s="495" cm="1">
        <f t="array" aca="1" ref="H39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95" s="498" t="str">
        <f ca="1">IF(Inventarisatie[[#This Row],[Freq. Ma-Vr]]=0,0,IF(ISNUMBER(SEARCH("/",_xlfn.XLOOKUP(Inventarisatie[[#This Row],[Locatie]],Tabel2[Locatiecode],Tabel2[Basisfrequentie],0,0))),VLOOKUP("za",WkDagen[],YEAR(NOW())-2020,FALSE),""))</f>
        <v/>
      </c>
      <c r="J39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95" s="498" t="str">
        <f ca="1">IF(Inventarisatie[[#This Row],[Freq. Ma-Vr]]=0,0,IF(_xlfn.XLOOKUP(Inventarisatie[[#This Row],[Locatie]],Tabel2[Locatiecode],Tabel2[Basisfrequentie],0,0)=Locatieoverzicht!$F$47,VLOOKUP("fe",WkDagen[],YEAR(NOW())-2020,FALSE),""))</f>
        <v/>
      </c>
    </row>
    <row r="396" spans="1:11" x14ac:dyDescent="0.2">
      <c r="A396" s="493" t="s">
        <v>170</v>
      </c>
      <c r="B396" s="492" t="s">
        <v>302</v>
      </c>
      <c r="C396" s="493"/>
      <c r="D396" s="491" t="s">
        <v>307</v>
      </c>
      <c r="E396" s="493" t="s">
        <v>26</v>
      </c>
      <c r="F396" s="493" t="s">
        <v>6</v>
      </c>
      <c r="G396" s="494">
        <v>23</v>
      </c>
      <c r="H396" s="495" cm="1">
        <f t="array" aca="1" ref="H39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96" s="498" t="str">
        <f ca="1">IF(Inventarisatie[[#This Row],[Freq. Ma-Vr]]=0,0,IF(ISNUMBER(SEARCH("/",_xlfn.XLOOKUP(Inventarisatie[[#This Row],[Locatie]],Tabel2[Locatiecode],Tabel2[Basisfrequentie],0,0))),VLOOKUP("za",WkDagen[],YEAR(NOW())-2020,FALSE),""))</f>
        <v/>
      </c>
      <c r="J39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96" s="498" t="str">
        <f ca="1">IF(Inventarisatie[[#This Row],[Freq. Ma-Vr]]=0,0,IF(_xlfn.XLOOKUP(Inventarisatie[[#This Row],[Locatie]],Tabel2[Locatiecode],Tabel2[Basisfrequentie],0,0)=Locatieoverzicht!$F$47,VLOOKUP("fe",WkDagen[],YEAR(NOW())-2020,FALSE),""))</f>
        <v/>
      </c>
    </row>
    <row r="397" spans="1:11" x14ac:dyDescent="0.2">
      <c r="A397" s="493" t="s">
        <v>170</v>
      </c>
      <c r="B397" s="492" t="s">
        <v>302</v>
      </c>
      <c r="C397" s="493"/>
      <c r="D397" s="491" t="s">
        <v>307</v>
      </c>
      <c r="E397" s="493" t="s">
        <v>26</v>
      </c>
      <c r="F397" s="493" t="s">
        <v>6</v>
      </c>
      <c r="G397" s="494">
        <v>23.4</v>
      </c>
      <c r="H397" s="495" cm="1">
        <f t="array" aca="1" ref="H39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97" s="498" t="str">
        <f ca="1">IF(Inventarisatie[[#This Row],[Freq. Ma-Vr]]=0,0,IF(ISNUMBER(SEARCH("/",_xlfn.XLOOKUP(Inventarisatie[[#This Row],[Locatie]],Tabel2[Locatiecode],Tabel2[Basisfrequentie],0,0))),VLOOKUP("za",WkDagen[],YEAR(NOW())-2020,FALSE),""))</f>
        <v/>
      </c>
      <c r="J39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97" s="498" t="str">
        <f ca="1">IF(Inventarisatie[[#This Row],[Freq. Ma-Vr]]=0,0,IF(_xlfn.XLOOKUP(Inventarisatie[[#This Row],[Locatie]],Tabel2[Locatiecode],Tabel2[Basisfrequentie],0,0)=Locatieoverzicht!$F$47,VLOOKUP("fe",WkDagen[],YEAR(NOW())-2020,FALSE),""))</f>
        <v/>
      </c>
    </row>
    <row r="398" spans="1:11" x14ac:dyDescent="0.2">
      <c r="A398" s="493" t="s">
        <v>170</v>
      </c>
      <c r="B398" s="492" t="s">
        <v>302</v>
      </c>
      <c r="C398" s="493"/>
      <c r="D398" s="491" t="s">
        <v>312</v>
      </c>
      <c r="E398" s="493" t="s">
        <v>29</v>
      </c>
      <c r="F398" s="493" t="s">
        <v>6</v>
      </c>
      <c r="G398" s="494">
        <v>11.3</v>
      </c>
      <c r="H398" s="495" cm="1">
        <f t="array" aca="1" ref="H39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98" s="498" t="str">
        <f ca="1">IF(Inventarisatie[[#This Row],[Freq. Ma-Vr]]=0,0,IF(ISNUMBER(SEARCH("/",_xlfn.XLOOKUP(Inventarisatie[[#This Row],[Locatie]],Tabel2[Locatiecode],Tabel2[Basisfrequentie],0,0))),VLOOKUP("za",WkDagen[],YEAR(NOW())-2020,FALSE),""))</f>
        <v/>
      </c>
      <c r="J39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98" s="498" t="str">
        <f ca="1">IF(Inventarisatie[[#This Row],[Freq. Ma-Vr]]=0,0,IF(_xlfn.XLOOKUP(Inventarisatie[[#This Row],[Locatie]],Tabel2[Locatiecode],Tabel2[Basisfrequentie],0,0)=Locatieoverzicht!$F$47,VLOOKUP("fe",WkDagen[],YEAR(NOW())-2020,FALSE),""))</f>
        <v/>
      </c>
    </row>
    <row r="399" spans="1:11" x14ac:dyDescent="0.2">
      <c r="A399" s="493" t="s">
        <v>170</v>
      </c>
      <c r="B399" s="492" t="s">
        <v>302</v>
      </c>
      <c r="C399" s="493"/>
      <c r="D399" s="491" t="s">
        <v>312</v>
      </c>
      <c r="E399" s="493" t="s">
        <v>43</v>
      </c>
      <c r="F399" s="493" t="s">
        <v>96</v>
      </c>
      <c r="G399" s="494">
        <v>3.3</v>
      </c>
      <c r="H399" s="495" cm="1">
        <f t="array" aca="1" ref="H39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399" s="498" t="str">
        <f ca="1">IF(Inventarisatie[[#This Row],[Freq. Ma-Vr]]=0,0,IF(ISNUMBER(SEARCH("/",_xlfn.XLOOKUP(Inventarisatie[[#This Row],[Locatie]],Tabel2[Locatiecode],Tabel2[Basisfrequentie],0,0))),VLOOKUP("za",WkDagen[],YEAR(NOW())-2020,FALSE),""))</f>
        <v/>
      </c>
      <c r="J39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399" s="498" t="str">
        <f ca="1">IF(Inventarisatie[[#This Row],[Freq. Ma-Vr]]=0,0,IF(_xlfn.XLOOKUP(Inventarisatie[[#This Row],[Locatie]],Tabel2[Locatiecode],Tabel2[Basisfrequentie],0,0)=Locatieoverzicht!$F$47,VLOOKUP("fe",WkDagen[],YEAR(NOW())-2020,FALSE),""))</f>
        <v/>
      </c>
    </row>
    <row r="400" spans="1:11" x14ac:dyDescent="0.2">
      <c r="A400" s="493" t="s">
        <v>170</v>
      </c>
      <c r="B400" s="492" t="s">
        <v>302</v>
      </c>
      <c r="C400" s="493"/>
      <c r="D400" s="491" t="s">
        <v>308</v>
      </c>
      <c r="E400" s="493" t="s">
        <v>35</v>
      </c>
      <c r="F400" s="493" t="s">
        <v>6</v>
      </c>
      <c r="G400" s="494">
        <v>12.6</v>
      </c>
      <c r="H400" s="495" cm="1">
        <f t="array" aca="1" ref="H40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00" s="498" t="str">
        <f ca="1">IF(Inventarisatie[[#This Row],[Freq. Ma-Vr]]=0,0,IF(ISNUMBER(SEARCH("/",_xlfn.XLOOKUP(Inventarisatie[[#This Row],[Locatie]],Tabel2[Locatiecode],Tabel2[Basisfrequentie],0,0))),VLOOKUP("za",WkDagen[],YEAR(NOW())-2020,FALSE),""))</f>
        <v/>
      </c>
      <c r="J40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00" s="498" t="str">
        <f ca="1">IF(Inventarisatie[[#This Row],[Freq. Ma-Vr]]=0,0,IF(_xlfn.XLOOKUP(Inventarisatie[[#This Row],[Locatie]],Tabel2[Locatiecode],Tabel2[Basisfrequentie],0,0)=Locatieoverzicht!$F$47,VLOOKUP("fe",WkDagen[],YEAR(NOW())-2020,FALSE),""))</f>
        <v/>
      </c>
    </row>
    <row r="401" spans="1:11" x14ac:dyDescent="0.2">
      <c r="A401" s="493" t="s">
        <v>170</v>
      </c>
      <c r="B401" s="492" t="s">
        <v>303</v>
      </c>
      <c r="C401" s="493"/>
      <c r="D401" s="491" t="s">
        <v>310</v>
      </c>
      <c r="E401" s="493" t="s">
        <v>34</v>
      </c>
      <c r="F401" s="493" t="s">
        <v>6</v>
      </c>
      <c r="G401" s="494">
        <v>44.7</v>
      </c>
      <c r="H401" s="495" cm="1">
        <f t="array" aca="1" ref="H40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01" s="498" t="str">
        <f ca="1">IF(Inventarisatie[[#This Row],[Freq. Ma-Vr]]=0,0,IF(ISNUMBER(SEARCH("/",_xlfn.XLOOKUP(Inventarisatie[[#This Row],[Locatie]],Tabel2[Locatiecode],Tabel2[Basisfrequentie],0,0))),VLOOKUP("za",WkDagen[],YEAR(NOW())-2020,FALSE),""))</f>
        <v/>
      </c>
      <c r="J40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01" s="498" t="str">
        <f ca="1">IF(Inventarisatie[[#This Row],[Freq. Ma-Vr]]=0,0,IF(_xlfn.XLOOKUP(Inventarisatie[[#This Row],[Locatie]],Tabel2[Locatiecode],Tabel2[Basisfrequentie],0,0)=Locatieoverzicht!$F$47,VLOOKUP("fe",WkDagen[],YEAR(NOW())-2020,FALSE),""))</f>
        <v/>
      </c>
    </row>
    <row r="402" spans="1:11" x14ac:dyDescent="0.2">
      <c r="A402" s="493" t="s">
        <v>170</v>
      </c>
      <c r="B402" s="492" t="s">
        <v>303</v>
      </c>
      <c r="C402" s="493"/>
      <c r="D402" s="491" t="s">
        <v>307</v>
      </c>
      <c r="E402" s="493" t="s">
        <v>26</v>
      </c>
      <c r="F402" s="493" t="s">
        <v>6</v>
      </c>
      <c r="G402" s="494">
        <v>17</v>
      </c>
      <c r="H402" s="495" cm="1">
        <f t="array" aca="1" ref="H40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02" s="498" t="str">
        <f ca="1">IF(Inventarisatie[[#This Row],[Freq. Ma-Vr]]=0,0,IF(ISNUMBER(SEARCH("/",_xlfn.XLOOKUP(Inventarisatie[[#This Row],[Locatie]],Tabel2[Locatiecode],Tabel2[Basisfrequentie],0,0))),VLOOKUP("za",WkDagen[],YEAR(NOW())-2020,FALSE),""))</f>
        <v/>
      </c>
      <c r="J40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02" s="498" t="str">
        <f ca="1">IF(Inventarisatie[[#This Row],[Freq. Ma-Vr]]=0,0,IF(_xlfn.XLOOKUP(Inventarisatie[[#This Row],[Locatie]],Tabel2[Locatiecode],Tabel2[Basisfrequentie],0,0)=Locatieoverzicht!$F$47,VLOOKUP("fe",WkDagen[],YEAR(NOW())-2020,FALSE),""))</f>
        <v/>
      </c>
    </row>
    <row r="403" spans="1:11" x14ac:dyDescent="0.2">
      <c r="A403" s="493" t="s">
        <v>170</v>
      </c>
      <c r="B403" s="492" t="s">
        <v>303</v>
      </c>
      <c r="C403" s="493"/>
      <c r="D403" s="491" t="s">
        <v>307</v>
      </c>
      <c r="E403" s="493" t="s">
        <v>26</v>
      </c>
      <c r="F403" s="493" t="s">
        <v>6</v>
      </c>
      <c r="G403" s="494">
        <v>24.4</v>
      </c>
      <c r="H403" s="495" cm="1">
        <f t="array" aca="1" ref="H40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03" s="498" t="str">
        <f ca="1">IF(Inventarisatie[[#This Row],[Freq. Ma-Vr]]=0,0,IF(ISNUMBER(SEARCH("/",_xlfn.XLOOKUP(Inventarisatie[[#This Row],[Locatie]],Tabel2[Locatiecode],Tabel2[Basisfrequentie],0,0))),VLOOKUP("za",WkDagen[],YEAR(NOW())-2020,FALSE),""))</f>
        <v/>
      </c>
      <c r="J40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03" s="498" t="str">
        <f ca="1">IF(Inventarisatie[[#This Row],[Freq. Ma-Vr]]=0,0,IF(_xlfn.XLOOKUP(Inventarisatie[[#This Row],[Locatie]],Tabel2[Locatiecode],Tabel2[Basisfrequentie],0,0)=Locatieoverzicht!$F$47,VLOOKUP("fe",WkDagen[],YEAR(NOW())-2020,FALSE),""))</f>
        <v/>
      </c>
    </row>
    <row r="404" spans="1:11" x14ac:dyDescent="0.2">
      <c r="A404" s="493" t="s">
        <v>171</v>
      </c>
      <c r="B404" s="492" t="s">
        <v>301</v>
      </c>
      <c r="C404" s="493" t="s">
        <v>172</v>
      </c>
      <c r="D404" s="491" t="s">
        <v>312</v>
      </c>
      <c r="E404" s="493" t="s">
        <v>41</v>
      </c>
      <c r="F404" s="493" t="s">
        <v>6</v>
      </c>
      <c r="G404" s="494">
        <v>6.6</v>
      </c>
      <c r="H404" s="495" cm="1">
        <f t="array" aca="1" ref="H40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04" s="498" t="str">
        <f ca="1">IF(Inventarisatie[[#This Row],[Freq. Ma-Vr]]=0,0,IF(ISNUMBER(SEARCH("/",_xlfn.XLOOKUP(Inventarisatie[[#This Row],[Locatie]],Tabel2[Locatiecode],Tabel2[Basisfrequentie],0,0))),VLOOKUP("za",WkDagen[],YEAR(NOW())-2020,FALSE),""))</f>
        <v/>
      </c>
      <c r="J40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04" s="498" t="str">
        <f ca="1">IF(Inventarisatie[[#This Row],[Freq. Ma-Vr]]=0,0,IF(_xlfn.XLOOKUP(Inventarisatie[[#This Row],[Locatie]],Tabel2[Locatiecode],Tabel2[Basisfrequentie],0,0)=Locatieoverzicht!$F$47,VLOOKUP("fe",WkDagen[],YEAR(NOW())-2020,FALSE),""))</f>
        <v/>
      </c>
    </row>
    <row r="405" spans="1:11" x14ac:dyDescent="0.2">
      <c r="A405" s="493" t="s">
        <v>171</v>
      </c>
      <c r="B405" s="492" t="s">
        <v>301</v>
      </c>
      <c r="C405" s="493" t="s">
        <v>173</v>
      </c>
      <c r="D405" s="491" t="s">
        <v>24</v>
      </c>
      <c r="E405" s="493" t="s">
        <v>24</v>
      </c>
      <c r="F405" s="493" t="s">
        <v>6</v>
      </c>
      <c r="G405" s="494">
        <v>19.5</v>
      </c>
      <c r="H405" s="495" cm="1">
        <f t="array" aca="1" ref="H40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05" s="498" t="str">
        <f ca="1">IF(Inventarisatie[[#This Row],[Freq. Ma-Vr]]=0,0,IF(ISNUMBER(SEARCH("/",_xlfn.XLOOKUP(Inventarisatie[[#This Row],[Locatie]],Tabel2[Locatiecode],Tabel2[Basisfrequentie],0,0))),VLOOKUP("za",WkDagen[],YEAR(NOW())-2020,FALSE),""))</f>
        <v/>
      </c>
      <c r="J40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05" s="498" t="str">
        <f ca="1">IF(Inventarisatie[[#This Row],[Freq. Ma-Vr]]=0,0,IF(_xlfn.XLOOKUP(Inventarisatie[[#This Row],[Locatie]],Tabel2[Locatiecode],Tabel2[Basisfrequentie],0,0)=Locatieoverzicht!$F$47,VLOOKUP("fe",WkDagen[],YEAR(NOW())-2020,FALSE),""))</f>
        <v/>
      </c>
    </row>
    <row r="406" spans="1:11" x14ac:dyDescent="0.2">
      <c r="A406" s="493" t="s">
        <v>171</v>
      </c>
      <c r="B406" s="492" t="s">
        <v>301</v>
      </c>
      <c r="C406" s="493" t="s">
        <v>174</v>
      </c>
      <c r="D406" s="491" t="s">
        <v>310</v>
      </c>
      <c r="E406" s="493" t="s">
        <v>5</v>
      </c>
      <c r="F406" s="493" t="s">
        <v>6</v>
      </c>
      <c r="G406" s="494">
        <v>15.7</v>
      </c>
      <c r="H406" s="495" cm="1">
        <f t="array" aca="1" ref="H40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06" s="498" t="str">
        <f ca="1">IF(Inventarisatie[[#This Row],[Freq. Ma-Vr]]=0,0,IF(ISNUMBER(SEARCH("/",_xlfn.XLOOKUP(Inventarisatie[[#This Row],[Locatie]],Tabel2[Locatiecode],Tabel2[Basisfrequentie],0,0))),VLOOKUP("za",WkDagen[],YEAR(NOW())-2020,FALSE),""))</f>
        <v/>
      </c>
      <c r="J40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06" s="498" t="str">
        <f ca="1">IF(Inventarisatie[[#This Row],[Freq. Ma-Vr]]=0,0,IF(_xlfn.XLOOKUP(Inventarisatie[[#This Row],[Locatie]],Tabel2[Locatiecode],Tabel2[Basisfrequentie],0,0)=Locatieoverzicht!$F$47,VLOOKUP("fe",WkDagen[],YEAR(NOW())-2020,FALSE),""))</f>
        <v/>
      </c>
    </row>
    <row r="407" spans="1:11" x14ac:dyDescent="0.2">
      <c r="A407" s="493" t="s">
        <v>171</v>
      </c>
      <c r="B407" s="492" t="s">
        <v>301</v>
      </c>
      <c r="C407" s="493" t="s">
        <v>175</v>
      </c>
      <c r="D407" s="491" t="s">
        <v>310</v>
      </c>
      <c r="E407" s="493" t="s">
        <v>5</v>
      </c>
      <c r="F407" s="493" t="s">
        <v>6</v>
      </c>
      <c r="G407" s="494">
        <v>15.2</v>
      </c>
      <c r="H407" s="495" cm="1">
        <f t="array" aca="1" ref="H40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07" s="498" t="str">
        <f ca="1">IF(Inventarisatie[[#This Row],[Freq. Ma-Vr]]=0,0,IF(ISNUMBER(SEARCH("/",_xlfn.XLOOKUP(Inventarisatie[[#This Row],[Locatie]],Tabel2[Locatiecode],Tabel2[Basisfrequentie],0,0))),VLOOKUP("za",WkDagen[],YEAR(NOW())-2020,FALSE),""))</f>
        <v/>
      </c>
      <c r="J40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07" s="498" t="str">
        <f ca="1">IF(Inventarisatie[[#This Row],[Freq. Ma-Vr]]=0,0,IF(_xlfn.XLOOKUP(Inventarisatie[[#This Row],[Locatie]],Tabel2[Locatiecode],Tabel2[Basisfrequentie],0,0)=Locatieoverzicht!$F$47,VLOOKUP("fe",WkDagen[],YEAR(NOW())-2020,FALSE),""))</f>
        <v/>
      </c>
    </row>
    <row r="408" spans="1:11" x14ac:dyDescent="0.2">
      <c r="A408" s="493" t="s">
        <v>171</v>
      </c>
      <c r="B408" s="492" t="s">
        <v>301</v>
      </c>
      <c r="C408" s="493" t="s">
        <v>176</v>
      </c>
      <c r="D408" s="491" t="s">
        <v>312</v>
      </c>
      <c r="E408" s="493" t="s">
        <v>14</v>
      </c>
      <c r="F408" s="493" t="s">
        <v>6</v>
      </c>
      <c r="G408" s="494">
        <v>7.5</v>
      </c>
      <c r="H408" s="495" cm="1">
        <f t="array" aca="1" ref="H40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08" s="498" t="str">
        <f ca="1">IF(Inventarisatie[[#This Row],[Freq. Ma-Vr]]=0,0,IF(ISNUMBER(SEARCH("/",_xlfn.XLOOKUP(Inventarisatie[[#This Row],[Locatie]],Tabel2[Locatiecode],Tabel2[Basisfrequentie],0,0))),VLOOKUP("za",WkDagen[],YEAR(NOW())-2020,FALSE),""))</f>
        <v/>
      </c>
      <c r="J40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08" s="498" t="str">
        <f ca="1">IF(Inventarisatie[[#This Row],[Freq. Ma-Vr]]=0,0,IF(_xlfn.XLOOKUP(Inventarisatie[[#This Row],[Locatie]],Tabel2[Locatiecode],Tabel2[Basisfrequentie],0,0)=Locatieoverzicht!$F$47,VLOOKUP("fe",WkDagen[],YEAR(NOW())-2020,FALSE),""))</f>
        <v/>
      </c>
    </row>
    <row r="409" spans="1:11" x14ac:dyDescent="0.2">
      <c r="A409" s="493" t="s">
        <v>171</v>
      </c>
      <c r="B409" s="492" t="s">
        <v>301</v>
      </c>
      <c r="C409" s="493" t="s">
        <v>177</v>
      </c>
      <c r="D409" s="491" t="s">
        <v>311</v>
      </c>
      <c r="E409" s="493" t="s">
        <v>16</v>
      </c>
      <c r="F409" s="493" t="s">
        <v>17</v>
      </c>
      <c r="G409" s="494">
        <v>1.4</v>
      </c>
      <c r="H409" s="495" cm="1">
        <f t="array" aca="1" ref="H40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09" s="498" t="str">
        <f ca="1">IF(Inventarisatie[[#This Row],[Freq. Ma-Vr]]=0,0,IF(ISNUMBER(SEARCH("/",_xlfn.XLOOKUP(Inventarisatie[[#This Row],[Locatie]],Tabel2[Locatiecode],Tabel2[Basisfrequentie],0,0))),VLOOKUP("za",WkDagen[],YEAR(NOW())-2020,FALSE),""))</f>
        <v/>
      </c>
      <c r="J40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09" s="498" t="str">
        <f ca="1">IF(Inventarisatie[[#This Row],[Freq. Ma-Vr]]=0,0,IF(_xlfn.XLOOKUP(Inventarisatie[[#This Row],[Locatie]],Tabel2[Locatiecode],Tabel2[Basisfrequentie],0,0)=Locatieoverzicht!$F$47,VLOOKUP("fe",WkDagen[],YEAR(NOW())-2020,FALSE),""))</f>
        <v/>
      </c>
    </row>
    <row r="410" spans="1:11" x14ac:dyDescent="0.2">
      <c r="A410" s="493" t="s">
        <v>178</v>
      </c>
      <c r="B410" s="492" t="s">
        <v>301</v>
      </c>
      <c r="C410" s="493" t="s">
        <v>92</v>
      </c>
      <c r="D410" s="491" t="s">
        <v>24</v>
      </c>
      <c r="E410" s="493" t="s">
        <v>24</v>
      </c>
      <c r="F410" s="493" t="s">
        <v>6</v>
      </c>
      <c r="G410" s="494">
        <v>36.200000000000003</v>
      </c>
      <c r="H410" s="495" cm="1">
        <f t="array" aca="1" ref="H41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10" s="498" t="str">
        <f ca="1">IF(Inventarisatie[[#This Row],[Freq. Ma-Vr]]=0,0,IF(ISNUMBER(SEARCH("/",_xlfn.XLOOKUP(Inventarisatie[[#This Row],[Locatie]],Tabel2[Locatiecode],Tabel2[Basisfrequentie],0,0))),VLOOKUP("za",WkDagen[],YEAR(NOW())-2020,FALSE),""))</f>
        <v/>
      </c>
      <c r="J41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10" s="498" t="str">
        <f ca="1">IF(Inventarisatie[[#This Row],[Freq. Ma-Vr]]=0,0,IF(_xlfn.XLOOKUP(Inventarisatie[[#This Row],[Locatie]],Tabel2[Locatiecode],Tabel2[Basisfrequentie],0,0)=Locatieoverzicht!$F$47,VLOOKUP("fe",WkDagen[],YEAR(NOW())-2020,FALSE),""))</f>
        <v/>
      </c>
    </row>
    <row r="411" spans="1:11" x14ac:dyDescent="0.2">
      <c r="A411" s="493" t="s">
        <v>178</v>
      </c>
      <c r="B411" s="492" t="s">
        <v>301</v>
      </c>
      <c r="C411" s="493" t="s">
        <v>150</v>
      </c>
      <c r="D411" s="491" t="s">
        <v>310</v>
      </c>
      <c r="E411" s="493" t="s">
        <v>5</v>
      </c>
      <c r="F411" s="493" t="s">
        <v>6</v>
      </c>
      <c r="G411" s="494">
        <v>17</v>
      </c>
      <c r="H411" s="495" cm="1">
        <f t="array" aca="1" ref="H41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11" s="498" t="str">
        <f ca="1">IF(Inventarisatie[[#This Row],[Freq. Ma-Vr]]=0,0,IF(ISNUMBER(SEARCH("/",_xlfn.XLOOKUP(Inventarisatie[[#This Row],[Locatie]],Tabel2[Locatiecode],Tabel2[Basisfrequentie],0,0))),VLOOKUP("za",WkDagen[],YEAR(NOW())-2020,FALSE),""))</f>
        <v/>
      </c>
      <c r="J41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11" s="498" t="str">
        <f ca="1">IF(Inventarisatie[[#This Row],[Freq. Ma-Vr]]=0,0,IF(_xlfn.XLOOKUP(Inventarisatie[[#This Row],[Locatie]],Tabel2[Locatiecode],Tabel2[Basisfrequentie],0,0)=Locatieoverzicht!$F$47,VLOOKUP("fe",WkDagen[],YEAR(NOW())-2020,FALSE),""))</f>
        <v/>
      </c>
    </row>
    <row r="412" spans="1:11" x14ac:dyDescent="0.2">
      <c r="A412" s="493" t="s">
        <v>178</v>
      </c>
      <c r="B412" s="492" t="s">
        <v>301</v>
      </c>
      <c r="C412" s="493" t="s">
        <v>151</v>
      </c>
      <c r="D412" s="491" t="s">
        <v>310</v>
      </c>
      <c r="E412" s="493" t="s">
        <v>5</v>
      </c>
      <c r="F412" s="493" t="s">
        <v>6</v>
      </c>
      <c r="G412" s="494">
        <v>17.899999999999999</v>
      </c>
      <c r="H412" s="495" cm="1">
        <f t="array" aca="1" ref="H41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12" s="498" t="str">
        <f ca="1">IF(Inventarisatie[[#This Row],[Freq. Ma-Vr]]=0,0,IF(ISNUMBER(SEARCH("/",_xlfn.XLOOKUP(Inventarisatie[[#This Row],[Locatie]],Tabel2[Locatiecode],Tabel2[Basisfrequentie],0,0))),VLOOKUP("za",WkDagen[],YEAR(NOW())-2020,FALSE),""))</f>
        <v/>
      </c>
      <c r="J41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12" s="498" t="str">
        <f ca="1">IF(Inventarisatie[[#This Row],[Freq. Ma-Vr]]=0,0,IF(_xlfn.XLOOKUP(Inventarisatie[[#This Row],[Locatie]],Tabel2[Locatiecode],Tabel2[Basisfrequentie],0,0)=Locatieoverzicht!$F$47,VLOOKUP("fe",WkDagen[],YEAR(NOW())-2020,FALSE),""))</f>
        <v/>
      </c>
    </row>
    <row r="413" spans="1:11" x14ac:dyDescent="0.2">
      <c r="A413" s="493" t="s">
        <v>179</v>
      </c>
      <c r="B413" s="492" t="s">
        <v>301</v>
      </c>
      <c r="C413" s="493" t="s">
        <v>60</v>
      </c>
      <c r="D413" s="491" t="s">
        <v>24</v>
      </c>
      <c r="E413" s="493" t="s">
        <v>24</v>
      </c>
      <c r="F413" s="493" t="s">
        <v>6</v>
      </c>
      <c r="G413" s="494">
        <v>54</v>
      </c>
      <c r="H413" s="495" cm="1">
        <f t="array" aca="1" ref="H41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13" s="498" t="str">
        <f ca="1">IF(Inventarisatie[[#This Row],[Freq. Ma-Vr]]=0,0,IF(ISNUMBER(SEARCH("/",_xlfn.XLOOKUP(Inventarisatie[[#This Row],[Locatie]],Tabel2[Locatiecode],Tabel2[Basisfrequentie],0,0))),VLOOKUP("za",WkDagen[],YEAR(NOW())-2020,FALSE),""))</f>
        <v/>
      </c>
      <c r="J41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13" s="498" t="str">
        <f ca="1">IF(Inventarisatie[[#This Row],[Freq. Ma-Vr]]=0,0,IF(_xlfn.XLOOKUP(Inventarisatie[[#This Row],[Locatie]],Tabel2[Locatiecode],Tabel2[Basisfrequentie],0,0)=Locatieoverzicht!$F$47,VLOOKUP("fe",WkDagen[],YEAR(NOW())-2020,FALSE),""))</f>
        <v/>
      </c>
    </row>
    <row r="414" spans="1:11" x14ac:dyDescent="0.2">
      <c r="A414" s="493" t="s">
        <v>179</v>
      </c>
      <c r="B414" s="492" t="s">
        <v>301</v>
      </c>
      <c r="C414" s="493" t="s">
        <v>62</v>
      </c>
      <c r="D414" s="491" t="s">
        <v>310</v>
      </c>
      <c r="E414" s="493" t="s">
        <v>5</v>
      </c>
      <c r="F414" s="493" t="s">
        <v>6</v>
      </c>
      <c r="G414" s="494">
        <v>7.7</v>
      </c>
      <c r="H414" s="495" cm="1">
        <f t="array" aca="1" ref="H41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14" s="498" t="str">
        <f ca="1">IF(Inventarisatie[[#This Row],[Freq. Ma-Vr]]=0,0,IF(ISNUMBER(SEARCH("/",_xlfn.XLOOKUP(Inventarisatie[[#This Row],[Locatie]],Tabel2[Locatiecode],Tabel2[Basisfrequentie],0,0))),VLOOKUP("za",WkDagen[],YEAR(NOW())-2020,FALSE),""))</f>
        <v/>
      </c>
      <c r="J41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14" s="498" t="str">
        <f ca="1">IF(Inventarisatie[[#This Row],[Freq. Ma-Vr]]=0,0,IF(_xlfn.XLOOKUP(Inventarisatie[[#This Row],[Locatie]],Tabel2[Locatiecode],Tabel2[Basisfrequentie],0,0)=Locatieoverzicht!$F$47,VLOOKUP("fe",WkDagen[],YEAR(NOW())-2020,FALSE),""))</f>
        <v/>
      </c>
    </row>
    <row r="415" spans="1:11" x14ac:dyDescent="0.2">
      <c r="A415" s="493" t="s">
        <v>179</v>
      </c>
      <c r="B415" s="492" t="s">
        <v>301</v>
      </c>
      <c r="C415" s="493" t="s">
        <v>64</v>
      </c>
      <c r="D415" s="491" t="s">
        <v>310</v>
      </c>
      <c r="E415" s="493" t="s">
        <v>5</v>
      </c>
      <c r="F415" s="493" t="s">
        <v>6</v>
      </c>
      <c r="G415" s="494">
        <v>27.9</v>
      </c>
      <c r="H415" s="495" cm="1">
        <f t="array" aca="1" ref="H41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15" s="498" t="str">
        <f ca="1">IF(Inventarisatie[[#This Row],[Freq. Ma-Vr]]=0,0,IF(ISNUMBER(SEARCH("/",_xlfn.XLOOKUP(Inventarisatie[[#This Row],[Locatie]],Tabel2[Locatiecode],Tabel2[Basisfrequentie],0,0))),VLOOKUP("za",WkDagen[],YEAR(NOW())-2020,FALSE),""))</f>
        <v/>
      </c>
      <c r="J41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15" s="498" t="str">
        <f ca="1">IF(Inventarisatie[[#This Row],[Freq. Ma-Vr]]=0,0,IF(_xlfn.XLOOKUP(Inventarisatie[[#This Row],[Locatie]],Tabel2[Locatiecode],Tabel2[Basisfrequentie],0,0)=Locatieoverzicht!$F$47,VLOOKUP("fe",WkDagen[],YEAR(NOW())-2020,FALSE),""))</f>
        <v/>
      </c>
    </row>
    <row r="416" spans="1:11" x14ac:dyDescent="0.2">
      <c r="A416" s="493" t="s">
        <v>179</v>
      </c>
      <c r="B416" s="492" t="s">
        <v>301</v>
      </c>
      <c r="C416" s="493" t="s">
        <v>65</v>
      </c>
      <c r="D416" s="491" t="s">
        <v>307</v>
      </c>
      <c r="E416" s="493" t="s">
        <v>26</v>
      </c>
      <c r="F416" s="493" t="s">
        <v>6</v>
      </c>
      <c r="G416" s="494">
        <v>17.899999999999999</v>
      </c>
      <c r="H416" s="495" cm="1">
        <f t="array" aca="1" ref="H41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16" s="498" t="str">
        <f ca="1">IF(Inventarisatie[[#This Row],[Freq. Ma-Vr]]=0,0,IF(ISNUMBER(SEARCH("/",_xlfn.XLOOKUP(Inventarisatie[[#This Row],[Locatie]],Tabel2[Locatiecode],Tabel2[Basisfrequentie],0,0))),VLOOKUP("za",WkDagen[],YEAR(NOW())-2020,FALSE),""))</f>
        <v/>
      </c>
      <c r="J41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16" s="498" t="str">
        <f ca="1">IF(Inventarisatie[[#This Row],[Freq. Ma-Vr]]=0,0,IF(_xlfn.XLOOKUP(Inventarisatie[[#This Row],[Locatie]],Tabel2[Locatiecode],Tabel2[Basisfrequentie],0,0)=Locatieoverzicht!$F$47,VLOOKUP("fe",WkDagen[],YEAR(NOW())-2020,FALSE),""))</f>
        <v/>
      </c>
    </row>
    <row r="417" spans="1:11" x14ac:dyDescent="0.2">
      <c r="A417" s="493" t="s">
        <v>179</v>
      </c>
      <c r="B417" s="492" t="s">
        <v>301</v>
      </c>
      <c r="C417" s="493" t="s">
        <v>66</v>
      </c>
      <c r="D417" s="491" t="s">
        <v>307</v>
      </c>
      <c r="E417" s="493" t="s">
        <v>26</v>
      </c>
      <c r="F417" s="493" t="s">
        <v>39</v>
      </c>
      <c r="G417" s="494">
        <v>12.2</v>
      </c>
      <c r="H417" s="495" cm="1">
        <f t="array" aca="1" ref="H41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17" s="498" t="str">
        <f ca="1">IF(Inventarisatie[[#This Row],[Freq. Ma-Vr]]=0,0,IF(ISNUMBER(SEARCH("/",_xlfn.XLOOKUP(Inventarisatie[[#This Row],[Locatie]],Tabel2[Locatiecode],Tabel2[Basisfrequentie],0,0))),VLOOKUP("za",WkDagen[],YEAR(NOW())-2020,FALSE),""))</f>
        <v/>
      </c>
      <c r="J41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17" s="498" t="str">
        <f ca="1">IF(Inventarisatie[[#This Row],[Freq. Ma-Vr]]=0,0,IF(_xlfn.XLOOKUP(Inventarisatie[[#This Row],[Locatie]],Tabel2[Locatiecode],Tabel2[Basisfrequentie],0,0)=Locatieoverzicht!$F$47,VLOOKUP("fe",WkDagen[],YEAR(NOW())-2020,FALSE),""))</f>
        <v/>
      </c>
    </row>
    <row r="418" spans="1:11" x14ac:dyDescent="0.2">
      <c r="A418" s="493" t="s">
        <v>179</v>
      </c>
      <c r="B418" s="492" t="s">
        <v>301</v>
      </c>
      <c r="C418" s="493" t="s">
        <v>67</v>
      </c>
      <c r="D418" s="491" t="s">
        <v>311</v>
      </c>
      <c r="E418" s="493" t="s">
        <v>16</v>
      </c>
      <c r="F418" s="493" t="s">
        <v>17</v>
      </c>
      <c r="G418" s="494">
        <v>1.5</v>
      </c>
      <c r="H418" s="495" cm="1">
        <f t="array" aca="1" ref="H41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18" s="498" t="str">
        <f ca="1">IF(Inventarisatie[[#This Row],[Freq. Ma-Vr]]=0,0,IF(ISNUMBER(SEARCH("/",_xlfn.XLOOKUP(Inventarisatie[[#This Row],[Locatie]],Tabel2[Locatiecode],Tabel2[Basisfrequentie],0,0))),VLOOKUP("za",WkDagen[],YEAR(NOW())-2020,FALSE),""))</f>
        <v/>
      </c>
      <c r="J41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18" s="498" t="str">
        <f ca="1">IF(Inventarisatie[[#This Row],[Freq. Ma-Vr]]=0,0,IF(_xlfn.XLOOKUP(Inventarisatie[[#This Row],[Locatie]],Tabel2[Locatiecode],Tabel2[Basisfrequentie],0,0)=Locatieoverzicht!$F$47,VLOOKUP("fe",WkDagen[],YEAR(NOW())-2020,FALSE),""))</f>
        <v/>
      </c>
    </row>
    <row r="419" spans="1:11" x14ac:dyDescent="0.2">
      <c r="A419" s="493" t="s">
        <v>180</v>
      </c>
      <c r="B419" s="492" t="s">
        <v>302</v>
      </c>
      <c r="C419" s="493" t="s">
        <v>4</v>
      </c>
      <c r="D419" s="491" t="s">
        <v>311</v>
      </c>
      <c r="E419" s="493" t="s">
        <v>16</v>
      </c>
      <c r="F419" s="493" t="s">
        <v>17</v>
      </c>
      <c r="G419" s="494">
        <v>1.4</v>
      </c>
      <c r="H419" s="495" cm="1">
        <f t="array" aca="1" ref="H41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19" s="498" t="str">
        <f ca="1">IF(Inventarisatie[[#This Row],[Freq. Ma-Vr]]=0,0,IF(ISNUMBER(SEARCH("/",_xlfn.XLOOKUP(Inventarisatie[[#This Row],[Locatie]],Tabel2[Locatiecode],Tabel2[Basisfrequentie],0,0))),VLOOKUP("za",WkDagen[],YEAR(NOW())-2020,FALSE),""))</f>
        <v/>
      </c>
      <c r="J41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19" s="498" t="str">
        <f ca="1">IF(Inventarisatie[[#This Row],[Freq. Ma-Vr]]=0,0,IF(_xlfn.XLOOKUP(Inventarisatie[[#This Row],[Locatie]],Tabel2[Locatiecode],Tabel2[Basisfrequentie],0,0)=Locatieoverzicht!$F$47,VLOOKUP("fe",WkDagen[],YEAR(NOW())-2020,FALSE),""))</f>
        <v/>
      </c>
    </row>
    <row r="420" spans="1:11" x14ac:dyDescent="0.2">
      <c r="A420" s="493" t="s">
        <v>180</v>
      </c>
      <c r="B420" s="492" t="s">
        <v>302</v>
      </c>
      <c r="C420" s="493" t="s">
        <v>7</v>
      </c>
      <c r="D420" s="491" t="s">
        <v>312</v>
      </c>
      <c r="E420" s="493" t="s">
        <v>37</v>
      </c>
      <c r="F420" s="493" t="s">
        <v>6</v>
      </c>
      <c r="G420" s="494">
        <v>7.6</v>
      </c>
      <c r="H420" s="495" cm="1">
        <f t="array" aca="1" ref="H42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20" s="498" t="str">
        <f ca="1">IF(Inventarisatie[[#This Row],[Freq. Ma-Vr]]=0,0,IF(ISNUMBER(SEARCH("/",_xlfn.XLOOKUP(Inventarisatie[[#This Row],[Locatie]],Tabel2[Locatiecode],Tabel2[Basisfrequentie],0,0))),VLOOKUP("za",WkDagen[],YEAR(NOW())-2020,FALSE),""))</f>
        <v/>
      </c>
      <c r="J42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20" s="498" t="str">
        <f ca="1">IF(Inventarisatie[[#This Row],[Freq. Ma-Vr]]=0,0,IF(_xlfn.XLOOKUP(Inventarisatie[[#This Row],[Locatie]],Tabel2[Locatiecode],Tabel2[Basisfrequentie],0,0)=Locatieoverzicht!$F$47,VLOOKUP("fe",WkDagen[],YEAR(NOW())-2020,FALSE),""))</f>
        <v/>
      </c>
    </row>
    <row r="421" spans="1:11" x14ac:dyDescent="0.2">
      <c r="A421" s="493" t="s">
        <v>180</v>
      </c>
      <c r="B421" s="492" t="s">
        <v>302</v>
      </c>
      <c r="C421" s="493" t="s">
        <v>8</v>
      </c>
      <c r="D421" s="491" t="s">
        <v>24</v>
      </c>
      <c r="E421" s="493" t="s">
        <v>24</v>
      </c>
      <c r="F421" s="493" t="s">
        <v>6</v>
      </c>
      <c r="G421" s="494">
        <v>37.200000000000003</v>
      </c>
      <c r="H421" s="495" cm="1">
        <f t="array" aca="1" ref="H42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21" s="498" t="str">
        <f ca="1">IF(Inventarisatie[[#This Row],[Freq. Ma-Vr]]=0,0,IF(ISNUMBER(SEARCH("/",_xlfn.XLOOKUP(Inventarisatie[[#This Row],[Locatie]],Tabel2[Locatiecode],Tabel2[Basisfrequentie],0,0))),VLOOKUP("za",WkDagen[],YEAR(NOW())-2020,FALSE),""))</f>
        <v/>
      </c>
      <c r="J42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21" s="498" t="str">
        <f ca="1">IF(Inventarisatie[[#This Row],[Freq. Ma-Vr]]=0,0,IF(_xlfn.XLOOKUP(Inventarisatie[[#This Row],[Locatie]],Tabel2[Locatiecode],Tabel2[Basisfrequentie],0,0)=Locatieoverzicht!$F$47,VLOOKUP("fe",WkDagen[],YEAR(NOW())-2020,FALSE),""))</f>
        <v/>
      </c>
    </row>
    <row r="422" spans="1:11" x14ac:dyDescent="0.2">
      <c r="A422" s="493" t="s">
        <v>180</v>
      </c>
      <c r="B422" s="492" t="s">
        <v>302</v>
      </c>
      <c r="C422" s="493" t="s">
        <v>9</v>
      </c>
      <c r="D422" s="491" t="s">
        <v>311</v>
      </c>
      <c r="E422" s="493" t="s">
        <v>16</v>
      </c>
      <c r="F422" s="493" t="s">
        <v>17</v>
      </c>
      <c r="G422" s="494">
        <v>1.4</v>
      </c>
      <c r="H422" s="495" cm="1">
        <f t="array" aca="1" ref="H42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22" s="498" t="str">
        <f ca="1">IF(Inventarisatie[[#This Row],[Freq. Ma-Vr]]=0,0,IF(ISNUMBER(SEARCH("/",_xlfn.XLOOKUP(Inventarisatie[[#This Row],[Locatie]],Tabel2[Locatiecode],Tabel2[Basisfrequentie],0,0))),VLOOKUP("za",WkDagen[],YEAR(NOW())-2020,FALSE),""))</f>
        <v/>
      </c>
      <c r="J42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22" s="498" t="str">
        <f ca="1">IF(Inventarisatie[[#This Row],[Freq. Ma-Vr]]=0,0,IF(_xlfn.XLOOKUP(Inventarisatie[[#This Row],[Locatie]],Tabel2[Locatiecode],Tabel2[Basisfrequentie],0,0)=Locatieoverzicht!$F$47,VLOOKUP("fe",WkDagen[],YEAR(NOW())-2020,FALSE),""))</f>
        <v/>
      </c>
    </row>
    <row r="423" spans="1:11" x14ac:dyDescent="0.2">
      <c r="A423" s="493" t="s">
        <v>180</v>
      </c>
      <c r="B423" s="492" t="s">
        <v>302</v>
      </c>
      <c r="C423" s="493" t="s">
        <v>10</v>
      </c>
      <c r="D423" s="491" t="s">
        <v>310</v>
      </c>
      <c r="E423" s="493" t="s">
        <v>5</v>
      </c>
      <c r="F423" s="493" t="s">
        <v>6</v>
      </c>
      <c r="G423" s="494">
        <v>23.7</v>
      </c>
      <c r="H423" s="495" cm="1">
        <f t="array" aca="1" ref="H42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23" s="498" t="str">
        <f ca="1">IF(Inventarisatie[[#This Row],[Freq. Ma-Vr]]=0,0,IF(ISNUMBER(SEARCH("/",_xlfn.XLOOKUP(Inventarisatie[[#This Row],[Locatie]],Tabel2[Locatiecode],Tabel2[Basisfrequentie],0,0))),VLOOKUP("za",WkDagen[],YEAR(NOW())-2020,FALSE),""))</f>
        <v/>
      </c>
      <c r="J42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23" s="498" t="str">
        <f ca="1">IF(Inventarisatie[[#This Row],[Freq. Ma-Vr]]=0,0,IF(_xlfn.XLOOKUP(Inventarisatie[[#This Row],[Locatie]],Tabel2[Locatiecode],Tabel2[Basisfrequentie],0,0)=Locatieoverzicht!$F$47,VLOOKUP("fe",WkDagen[],YEAR(NOW())-2020,FALSE),""))</f>
        <v/>
      </c>
    </row>
    <row r="424" spans="1:11" x14ac:dyDescent="0.2">
      <c r="A424" s="493" t="s">
        <v>180</v>
      </c>
      <c r="B424" s="492" t="s">
        <v>302</v>
      </c>
      <c r="C424" s="493" t="s">
        <v>11</v>
      </c>
      <c r="D424" s="491" t="s">
        <v>310</v>
      </c>
      <c r="E424" s="493" t="s">
        <v>5</v>
      </c>
      <c r="F424" s="493" t="s">
        <v>6</v>
      </c>
      <c r="G424" s="494">
        <v>23.6</v>
      </c>
      <c r="H424" s="495" cm="1">
        <f t="array" aca="1" ref="H42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24" s="498" t="str">
        <f ca="1">IF(Inventarisatie[[#This Row],[Freq. Ma-Vr]]=0,0,IF(ISNUMBER(SEARCH("/",_xlfn.XLOOKUP(Inventarisatie[[#This Row],[Locatie]],Tabel2[Locatiecode],Tabel2[Basisfrequentie],0,0))),VLOOKUP("za",WkDagen[],YEAR(NOW())-2020,FALSE),""))</f>
        <v/>
      </c>
      <c r="J42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24" s="498" t="str">
        <f ca="1">IF(Inventarisatie[[#This Row],[Freq. Ma-Vr]]=0,0,IF(_xlfn.XLOOKUP(Inventarisatie[[#This Row],[Locatie]],Tabel2[Locatiecode],Tabel2[Basisfrequentie],0,0)=Locatieoverzicht!$F$47,VLOOKUP("fe",WkDagen[],YEAR(NOW())-2020,FALSE),""))</f>
        <v/>
      </c>
    </row>
    <row r="425" spans="1:11" x14ac:dyDescent="0.2">
      <c r="A425" s="493" t="s">
        <v>180</v>
      </c>
      <c r="B425" s="492" t="s">
        <v>302</v>
      </c>
      <c r="C425" s="493" t="s">
        <v>13</v>
      </c>
      <c r="D425" s="491" t="s">
        <v>307</v>
      </c>
      <c r="E425" s="493" t="s">
        <v>112</v>
      </c>
      <c r="F425" s="493" t="s">
        <v>6</v>
      </c>
      <c r="G425" s="494">
        <v>14.1</v>
      </c>
      <c r="H425" s="495" cm="1">
        <f t="array" aca="1" ref="H42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25" s="498" t="str">
        <f ca="1">IF(Inventarisatie[[#This Row],[Freq. Ma-Vr]]=0,0,IF(ISNUMBER(SEARCH("/",_xlfn.XLOOKUP(Inventarisatie[[#This Row],[Locatie]],Tabel2[Locatiecode],Tabel2[Basisfrequentie],0,0))),VLOOKUP("za",WkDagen[],YEAR(NOW())-2020,FALSE),""))</f>
        <v/>
      </c>
      <c r="J42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25" s="498" t="str">
        <f ca="1">IF(Inventarisatie[[#This Row],[Freq. Ma-Vr]]=0,0,IF(_xlfn.XLOOKUP(Inventarisatie[[#This Row],[Locatie]],Tabel2[Locatiecode],Tabel2[Basisfrequentie],0,0)=Locatieoverzicht!$F$47,VLOOKUP("fe",WkDagen[],YEAR(NOW())-2020,FALSE),""))</f>
        <v/>
      </c>
    </row>
    <row r="426" spans="1:11" x14ac:dyDescent="0.2">
      <c r="A426" s="493" t="s">
        <v>180</v>
      </c>
      <c r="B426" s="492" t="s">
        <v>302</v>
      </c>
      <c r="C426" s="493" t="s">
        <v>15</v>
      </c>
      <c r="D426" s="491" t="s">
        <v>312</v>
      </c>
      <c r="E426" s="493" t="s">
        <v>29</v>
      </c>
      <c r="F426" s="493" t="s">
        <v>6</v>
      </c>
      <c r="G426" s="494">
        <v>3.6</v>
      </c>
      <c r="H426" s="495" cm="1">
        <f t="array" aca="1" ref="H42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26" s="498" t="str">
        <f ca="1">IF(Inventarisatie[[#This Row],[Freq. Ma-Vr]]=0,0,IF(ISNUMBER(SEARCH("/",_xlfn.XLOOKUP(Inventarisatie[[#This Row],[Locatie]],Tabel2[Locatiecode],Tabel2[Basisfrequentie],0,0))),VLOOKUP("za",WkDagen[],YEAR(NOW())-2020,FALSE),""))</f>
        <v/>
      </c>
      <c r="J42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26" s="498" t="str">
        <f ca="1">IF(Inventarisatie[[#This Row],[Freq. Ma-Vr]]=0,0,IF(_xlfn.XLOOKUP(Inventarisatie[[#This Row],[Locatie]],Tabel2[Locatiecode],Tabel2[Basisfrequentie],0,0)=Locatieoverzicht!$F$47,VLOOKUP("fe",WkDagen[],YEAR(NOW())-2020,FALSE),""))</f>
        <v/>
      </c>
    </row>
    <row r="427" spans="1:11" x14ac:dyDescent="0.2">
      <c r="A427" s="493" t="s">
        <v>181</v>
      </c>
      <c r="B427" s="492" t="s">
        <v>301</v>
      </c>
      <c r="C427" s="493" t="s">
        <v>86</v>
      </c>
      <c r="D427" s="491" t="s">
        <v>312</v>
      </c>
      <c r="E427" s="493" t="s">
        <v>88</v>
      </c>
      <c r="F427" s="493" t="s">
        <v>6</v>
      </c>
      <c r="G427" s="494">
        <v>2.2000000000000002</v>
      </c>
      <c r="H427" s="495" cm="1">
        <f t="array" aca="1" ref="H42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27" s="498" t="str">
        <f ca="1">IF(Inventarisatie[[#This Row],[Freq. Ma-Vr]]=0,0,IF(ISNUMBER(SEARCH("/",_xlfn.XLOOKUP(Inventarisatie[[#This Row],[Locatie]],Tabel2[Locatiecode],Tabel2[Basisfrequentie],0,0))),VLOOKUP("za",WkDagen[],YEAR(NOW())-2020,FALSE),""))</f>
        <v/>
      </c>
      <c r="J42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27" s="498" t="str">
        <f ca="1">IF(Inventarisatie[[#This Row],[Freq. Ma-Vr]]=0,0,IF(_xlfn.XLOOKUP(Inventarisatie[[#This Row],[Locatie]],Tabel2[Locatiecode],Tabel2[Basisfrequentie],0,0)=Locatieoverzicht!$F$47,VLOOKUP("fe",WkDagen[],YEAR(NOW())-2020,FALSE),""))</f>
        <v/>
      </c>
    </row>
    <row r="428" spans="1:11" x14ac:dyDescent="0.2">
      <c r="A428" s="493" t="s">
        <v>181</v>
      </c>
      <c r="B428" s="492" t="s">
        <v>301</v>
      </c>
      <c r="C428" s="493" t="s">
        <v>85</v>
      </c>
      <c r="D428" s="491" t="s">
        <v>307</v>
      </c>
      <c r="E428" s="493" t="s">
        <v>26</v>
      </c>
      <c r="F428" s="493" t="s">
        <v>6</v>
      </c>
      <c r="G428" s="494">
        <v>15.1</v>
      </c>
      <c r="H428" s="495" cm="1">
        <f t="array" aca="1" ref="H42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28" s="498" t="str">
        <f ca="1">IF(Inventarisatie[[#This Row],[Freq. Ma-Vr]]=0,0,IF(ISNUMBER(SEARCH("/",_xlfn.XLOOKUP(Inventarisatie[[#This Row],[Locatie]],Tabel2[Locatiecode],Tabel2[Basisfrequentie],0,0))),VLOOKUP("za",WkDagen[],YEAR(NOW())-2020,FALSE),""))</f>
        <v/>
      </c>
      <c r="J42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28" s="498" t="str">
        <f ca="1">IF(Inventarisatie[[#This Row],[Freq. Ma-Vr]]=0,0,IF(_xlfn.XLOOKUP(Inventarisatie[[#This Row],[Locatie]],Tabel2[Locatiecode],Tabel2[Basisfrequentie],0,0)=Locatieoverzicht!$F$47,VLOOKUP("fe",WkDagen[],YEAR(NOW())-2020,FALSE),""))</f>
        <v/>
      </c>
    </row>
    <row r="429" spans="1:11" x14ac:dyDescent="0.2">
      <c r="A429" s="493" t="s">
        <v>181</v>
      </c>
      <c r="B429" s="492" t="s">
        <v>301</v>
      </c>
      <c r="C429" s="493" t="s">
        <v>148</v>
      </c>
      <c r="D429" s="491" t="s">
        <v>310</v>
      </c>
      <c r="E429" s="493" t="s">
        <v>5</v>
      </c>
      <c r="F429" s="493" t="s">
        <v>6</v>
      </c>
      <c r="G429" s="494">
        <v>15.1</v>
      </c>
      <c r="H429" s="495" cm="1">
        <f t="array" aca="1" ref="H42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29" s="498" t="str">
        <f ca="1">IF(Inventarisatie[[#This Row],[Freq. Ma-Vr]]=0,0,IF(ISNUMBER(SEARCH("/",_xlfn.XLOOKUP(Inventarisatie[[#This Row],[Locatie]],Tabel2[Locatiecode],Tabel2[Basisfrequentie],0,0))),VLOOKUP("za",WkDagen[],YEAR(NOW())-2020,FALSE),""))</f>
        <v/>
      </c>
      <c r="J42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29" s="498" t="str">
        <f ca="1">IF(Inventarisatie[[#This Row],[Freq. Ma-Vr]]=0,0,IF(_xlfn.XLOOKUP(Inventarisatie[[#This Row],[Locatie]],Tabel2[Locatiecode],Tabel2[Basisfrequentie],0,0)=Locatieoverzicht!$F$47,VLOOKUP("fe",WkDagen[],YEAR(NOW())-2020,FALSE),""))</f>
        <v/>
      </c>
    </row>
    <row r="430" spans="1:11" x14ac:dyDescent="0.2">
      <c r="A430" s="493" t="s">
        <v>181</v>
      </c>
      <c r="B430" s="492" t="s">
        <v>301</v>
      </c>
      <c r="C430" s="493" t="s">
        <v>91</v>
      </c>
      <c r="D430" s="491" t="s">
        <v>24</v>
      </c>
      <c r="E430" s="493" t="s">
        <v>24</v>
      </c>
      <c r="F430" s="493" t="s">
        <v>6</v>
      </c>
      <c r="G430" s="494">
        <v>30</v>
      </c>
      <c r="H430" s="495" cm="1">
        <f t="array" aca="1" ref="H43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30" s="498" t="str">
        <f ca="1">IF(Inventarisatie[[#This Row],[Freq. Ma-Vr]]=0,0,IF(ISNUMBER(SEARCH("/",_xlfn.XLOOKUP(Inventarisatie[[#This Row],[Locatie]],Tabel2[Locatiecode],Tabel2[Basisfrequentie],0,0))),VLOOKUP("za",WkDagen[],YEAR(NOW())-2020,FALSE),""))</f>
        <v/>
      </c>
      <c r="J43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30" s="498" t="str">
        <f ca="1">IF(Inventarisatie[[#This Row],[Freq. Ma-Vr]]=0,0,IF(_xlfn.XLOOKUP(Inventarisatie[[#This Row],[Locatie]],Tabel2[Locatiecode],Tabel2[Basisfrequentie],0,0)=Locatieoverzicht!$F$47,VLOOKUP("fe",WkDagen[],YEAR(NOW())-2020,FALSE),""))</f>
        <v/>
      </c>
    </row>
    <row r="431" spans="1:11" x14ac:dyDescent="0.2">
      <c r="A431" s="493" t="s">
        <v>181</v>
      </c>
      <c r="B431" s="492" t="s">
        <v>301</v>
      </c>
      <c r="C431" s="493" t="s">
        <v>92</v>
      </c>
      <c r="D431" s="491" t="s">
        <v>310</v>
      </c>
      <c r="E431" s="493" t="s">
        <v>5</v>
      </c>
      <c r="F431" s="493" t="s">
        <v>6</v>
      </c>
      <c r="G431" s="494">
        <v>15</v>
      </c>
      <c r="H431" s="495" cm="1">
        <f t="array" aca="1" ref="H43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31" s="498" t="str">
        <f ca="1">IF(Inventarisatie[[#This Row],[Freq. Ma-Vr]]=0,0,IF(ISNUMBER(SEARCH("/",_xlfn.XLOOKUP(Inventarisatie[[#This Row],[Locatie]],Tabel2[Locatiecode],Tabel2[Basisfrequentie],0,0))),VLOOKUP("za",WkDagen[],YEAR(NOW())-2020,FALSE),""))</f>
        <v/>
      </c>
      <c r="J43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31" s="498" t="str">
        <f ca="1">IF(Inventarisatie[[#This Row],[Freq. Ma-Vr]]=0,0,IF(_xlfn.XLOOKUP(Inventarisatie[[#This Row],[Locatie]],Tabel2[Locatiecode],Tabel2[Basisfrequentie],0,0)=Locatieoverzicht!$F$47,VLOOKUP("fe",WkDagen[],YEAR(NOW())-2020,FALSE),""))</f>
        <v/>
      </c>
    </row>
    <row r="432" spans="1:11" x14ac:dyDescent="0.2">
      <c r="A432" s="493" t="s">
        <v>181</v>
      </c>
      <c r="B432" s="492" t="s">
        <v>301</v>
      </c>
      <c r="C432" s="493" t="s">
        <v>149</v>
      </c>
      <c r="D432" s="491" t="s">
        <v>310</v>
      </c>
      <c r="E432" s="493" t="s">
        <v>5</v>
      </c>
      <c r="F432" s="493" t="s">
        <v>6</v>
      </c>
      <c r="G432" s="494">
        <v>14.8</v>
      </c>
      <c r="H432" s="495" cm="1">
        <f t="array" aca="1" ref="H43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32" s="498" t="str">
        <f ca="1">IF(Inventarisatie[[#This Row],[Freq. Ma-Vr]]=0,0,IF(ISNUMBER(SEARCH("/",_xlfn.XLOOKUP(Inventarisatie[[#This Row],[Locatie]],Tabel2[Locatiecode],Tabel2[Basisfrequentie],0,0))),VLOOKUP("za",WkDagen[],YEAR(NOW())-2020,FALSE),""))</f>
        <v/>
      </c>
      <c r="J43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32" s="498" t="str">
        <f ca="1">IF(Inventarisatie[[#This Row],[Freq. Ma-Vr]]=0,0,IF(_xlfn.XLOOKUP(Inventarisatie[[#This Row],[Locatie]],Tabel2[Locatiecode],Tabel2[Basisfrequentie],0,0)=Locatieoverzicht!$F$47,VLOOKUP("fe",WkDagen[],YEAR(NOW())-2020,FALSE),""))</f>
        <v/>
      </c>
    </row>
    <row r="433" spans="1:11" x14ac:dyDescent="0.2">
      <c r="A433" s="493" t="s">
        <v>181</v>
      </c>
      <c r="B433" s="492" t="s">
        <v>301</v>
      </c>
      <c r="C433" s="493" t="s">
        <v>150</v>
      </c>
      <c r="D433" s="491" t="s">
        <v>310</v>
      </c>
      <c r="E433" s="493" t="s">
        <v>19</v>
      </c>
      <c r="F433" s="493" t="s">
        <v>6</v>
      </c>
      <c r="G433" s="494">
        <v>38.799999999999997</v>
      </c>
      <c r="H433" s="495" cm="1">
        <f t="array" aca="1" ref="H43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33" s="498" t="str">
        <f ca="1">IF(Inventarisatie[[#This Row],[Freq. Ma-Vr]]=0,0,IF(ISNUMBER(SEARCH("/",_xlfn.XLOOKUP(Inventarisatie[[#This Row],[Locatie]],Tabel2[Locatiecode],Tabel2[Basisfrequentie],0,0))),VLOOKUP("za",WkDagen[],YEAR(NOW())-2020,FALSE),""))</f>
        <v/>
      </c>
      <c r="J433"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33" s="498" t="str">
        <f ca="1">IF(Inventarisatie[[#This Row],[Freq. Ma-Vr]]=0,0,IF(_xlfn.XLOOKUP(Inventarisatie[[#This Row],[Locatie]],Tabel2[Locatiecode],Tabel2[Basisfrequentie],0,0)=Locatieoverzicht!$F$47,VLOOKUP("fe",WkDagen[],YEAR(NOW())-2020,FALSE),""))</f>
        <v/>
      </c>
    </row>
    <row r="434" spans="1:11" x14ac:dyDescent="0.2">
      <c r="A434" s="493" t="s">
        <v>181</v>
      </c>
      <c r="B434" s="492" t="s">
        <v>301</v>
      </c>
      <c r="C434" s="493" t="s">
        <v>152</v>
      </c>
      <c r="D434" s="491" t="s">
        <v>312</v>
      </c>
      <c r="E434" s="493" t="s">
        <v>41</v>
      </c>
      <c r="F434" s="493" t="s">
        <v>6</v>
      </c>
      <c r="G434" s="494">
        <v>16</v>
      </c>
      <c r="H434" s="495" cm="1">
        <f t="array" aca="1" ref="H43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34" s="498" t="str">
        <f ca="1">IF(Inventarisatie[[#This Row],[Freq. Ma-Vr]]=0,0,IF(ISNUMBER(SEARCH("/",_xlfn.XLOOKUP(Inventarisatie[[#This Row],[Locatie]],Tabel2[Locatiecode],Tabel2[Basisfrequentie],0,0))),VLOOKUP("za",WkDagen[],YEAR(NOW())-2020,FALSE),""))</f>
        <v/>
      </c>
      <c r="J434"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34" s="498" t="str">
        <f ca="1">IF(Inventarisatie[[#This Row],[Freq. Ma-Vr]]=0,0,IF(_xlfn.XLOOKUP(Inventarisatie[[#This Row],[Locatie]],Tabel2[Locatiecode],Tabel2[Basisfrequentie],0,0)=Locatieoverzicht!$F$47,VLOOKUP("fe",WkDagen[],YEAR(NOW())-2020,FALSE),""))</f>
        <v/>
      </c>
    </row>
    <row r="435" spans="1:11" x14ac:dyDescent="0.2">
      <c r="A435" s="493" t="s">
        <v>181</v>
      </c>
      <c r="B435" s="492" t="s">
        <v>301</v>
      </c>
      <c r="C435" s="493" t="s">
        <v>153</v>
      </c>
      <c r="D435" s="491" t="s">
        <v>311</v>
      </c>
      <c r="E435" s="493" t="s">
        <v>16</v>
      </c>
      <c r="F435" s="493" t="s">
        <v>17</v>
      </c>
      <c r="G435" s="494">
        <v>2.2000000000000002</v>
      </c>
      <c r="H435" s="495" cm="1">
        <f t="array" aca="1" ref="H43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35" s="498" t="str">
        <f ca="1">IF(Inventarisatie[[#This Row],[Freq. Ma-Vr]]=0,0,IF(ISNUMBER(SEARCH("/",_xlfn.XLOOKUP(Inventarisatie[[#This Row],[Locatie]],Tabel2[Locatiecode],Tabel2[Basisfrequentie],0,0))),VLOOKUP("za",WkDagen[],YEAR(NOW())-2020,FALSE),""))</f>
        <v/>
      </c>
      <c r="J435"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35" s="498" t="str">
        <f ca="1">IF(Inventarisatie[[#This Row],[Freq. Ma-Vr]]=0,0,IF(_xlfn.XLOOKUP(Inventarisatie[[#This Row],[Locatie]],Tabel2[Locatiecode],Tabel2[Basisfrequentie],0,0)=Locatieoverzicht!$F$47,VLOOKUP("fe",WkDagen[],YEAR(NOW())-2020,FALSE),""))</f>
        <v/>
      </c>
    </row>
    <row r="436" spans="1:11" x14ac:dyDescent="0.2">
      <c r="A436" s="493" t="s">
        <v>261</v>
      </c>
      <c r="B436" s="492" t="s">
        <v>301</v>
      </c>
      <c r="C436" s="493" t="s">
        <v>60</v>
      </c>
      <c r="D436" s="491" t="s">
        <v>24</v>
      </c>
      <c r="E436" s="493" t="s">
        <v>24</v>
      </c>
      <c r="F436" s="493" t="s">
        <v>6</v>
      </c>
      <c r="G436" s="494">
        <v>62</v>
      </c>
      <c r="H436" s="495" cm="1">
        <f t="array" aca="1" ref="H43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36" s="498" t="str">
        <f ca="1">IF(Inventarisatie[[#This Row],[Freq. Ma-Vr]]=0,0,IF(ISNUMBER(SEARCH("/",_xlfn.XLOOKUP(Inventarisatie[[#This Row],[Locatie]],Tabel2[Locatiecode],Tabel2[Basisfrequentie],0,0))),VLOOKUP("za",WkDagen[],YEAR(NOW())-2020,FALSE),""))</f>
        <v/>
      </c>
      <c r="J436"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36" s="498" t="str">
        <f ca="1">IF(Inventarisatie[[#This Row],[Freq. Ma-Vr]]=0,0,IF(_xlfn.XLOOKUP(Inventarisatie[[#This Row],[Locatie]],Tabel2[Locatiecode],Tabel2[Basisfrequentie],0,0)=Locatieoverzicht!$F$47,VLOOKUP("fe",WkDagen[],YEAR(NOW())-2020,FALSE),""))</f>
        <v/>
      </c>
    </row>
    <row r="437" spans="1:11" x14ac:dyDescent="0.2">
      <c r="A437" s="493" t="s">
        <v>261</v>
      </c>
      <c r="B437" s="492" t="s">
        <v>301</v>
      </c>
      <c r="C437" s="493" t="s">
        <v>62</v>
      </c>
      <c r="D437" s="491" t="s">
        <v>310</v>
      </c>
      <c r="E437" s="493" t="s">
        <v>5</v>
      </c>
      <c r="F437" s="493" t="s">
        <v>6</v>
      </c>
      <c r="G437" s="494">
        <v>25.3</v>
      </c>
      <c r="H437" s="495" cm="1">
        <f t="array" aca="1" ref="H43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37" s="498" t="str">
        <f ca="1">IF(Inventarisatie[[#This Row],[Freq. Ma-Vr]]=0,0,IF(ISNUMBER(SEARCH("/",_xlfn.XLOOKUP(Inventarisatie[[#This Row],[Locatie]],Tabel2[Locatiecode],Tabel2[Basisfrequentie],0,0))),VLOOKUP("za",WkDagen[],YEAR(NOW())-2020,FALSE),""))</f>
        <v/>
      </c>
      <c r="J437"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37" s="498" t="str">
        <f ca="1">IF(Inventarisatie[[#This Row],[Freq. Ma-Vr]]=0,0,IF(_xlfn.XLOOKUP(Inventarisatie[[#This Row],[Locatie]],Tabel2[Locatiecode],Tabel2[Basisfrequentie],0,0)=Locatieoverzicht!$F$47,VLOOKUP("fe",WkDagen[],YEAR(NOW())-2020,FALSE),""))</f>
        <v/>
      </c>
    </row>
    <row r="438" spans="1:11" x14ac:dyDescent="0.2">
      <c r="A438" s="493" t="s">
        <v>261</v>
      </c>
      <c r="B438" s="492" t="s">
        <v>301</v>
      </c>
      <c r="C438" s="493" t="s">
        <v>64</v>
      </c>
      <c r="D438" s="491" t="s">
        <v>310</v>
      </c>
      <c r="E438" s="493" t="s">
        <v>5</v>
      </c>
      <c r="F438" s="493" t="s">
        <v>6</v>
      </c>
      <c r="G438" s="494">
        <v>22.4</v>
      </c>
      <c r="H438" s="495" cm="1">
        <f t="array" aca="1" ref="H43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38" s="498" t="str">
        <f ca="1">IF(Inventarisatie[[#This Row],[Freq. Ma-Vr]]=0,0,IF(ISNUMBER(SEARCH("/",_xlfn.XLOOKUP(Inventarisatie[[#This Row],[Locatie]],Tabel2[Locatiecode],Tabel2[Basisfrequentie],0,0))),VLOOKUP("za",WkDagen[],YEAR(NOW())-2020,FALSE),""))</f>
        <v/>
      </c>
      <c r="J438"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38" s="498" t="str">
        <f ca="1">IF(Inventarisatie[[#This Row],[Freq. Ma-Vr]]=0,0,IF(_xlfn.XLOOKUP(Inventarisatie[[#This Row],[Locatie]],Tabel2[Locatiecode],Tabel2[Basisfrequentie],0,0)=Locatieoverzicht!$F$47,VLOOKUP("fe",WkDagen[],YEAR(NOW())-2020,FALSE),""))</f>
        <v/>
      </c>
    </row>
    <row r="439" spans="1:11" x14ac:dyDescent="0.2">
      <c r="A439" s="493" t="s">
        <v>261</v>
      </c>
      <c r="B439" s="492" t="s">
        <v>301</v>
      </c>
      <c r="C439" s="493" t="s">
        <v>65</v>
      </c>
      <c r="D439" s="491" t="s">
        <v>311</v>
      </c>
      <c r="E439" s="493" t="s">
        <v>275</v>
      </c>
      <c r="F439" s="493" t="s">
        <v>6</v>
      </c>
      <c r="G439" s="494">
        <v>2.4</v>
      </c>
      <c r="H439" s="495" cm="1">
        <f t="array" aca="1" ref="H43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39" s="498" t="str">
        <f ca="1">IF(Inventarisatie[[#This Row],[Freq. Ma-Vr]]=0,0,IF(ISNUMBER(SEARCH("/",_xlfn.XLOOKUP(Inventarisatie[[#This Row],[Locatie]],Tabel2[Locatiecode],Tabel2[Basisfrequentie],0,0))),VLOOKUP("za",WkDagen[],YEAR(NOW())-2020,FALSE),""))</f>
        <v/>
      </c>
      <c r="J439"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39" s="498" t="str">
        <f ca="1">IF(Inventarisatie[[#This Row],[Freq. Ma-Vr]]=0,0,IF(_xlfn.XLOOKUP(Inventarisatie[[#This Row],[Locatie]],Tabel2[Locatiecode],Tabel2[Basisfrequentie],0,0)=Locatieoverzicht!$F$47,VLOOKUP("fe",WkDagen[],YEAR(NOW())-2020,FALSE),""))</f>
        <v/>
      </c>
    </row>
    <row r="440" spans="1:11" x14ac:dyDescent="0.2">
      <c r="A440" s="493" t="s">
        <v>261</v>
      </c>
      <c r="B440" s="492" t="s">
        <v>301</v>
      </c>
      <c r="C440" s="493" t="s">
        <v>66</v>
      </c>
      <c r="D440" s="491" t="s">
        <v>312</v>
      </c>
      <c r="E440" s="493" t="s">
        <v>278</v>
      </c>
      <c r="F440" s="493" t="s">
        <v>6</v>
      </c>
      <c r="G440" s="494">
        <v>4.5999999999999996</v>
      </c>
      <c r="H440" s="495" cm="1">
        <f t="array" aca="1" ref="H44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40" s="498" t="str">
        <f ca="1">IF(Inventarisatie[[#This Row],[Freq. Ma-Vr]]=0,0,IF(ISNUMBER(SEARCH("/",_xlfn.XLOOKUP(Inventarisatie[[#This Row],[Locatie]],Tabel2[Locatiecode],Tabel2[Basisfrequentie],0,0))),VLOOKUP("za",WkDagen[],YEAR(NOW())-2020,FALSE),""))</f>
        <v/>
      </c>
      <c r="J440"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40" s="498" t="str">
        <f ca="1">IF(Inventarisatie[[#This Row],[Freq. Ma-Vr]]=0,0,IF(_xlfn.XLOOKUP(Inventarisatie[[#This Row],[Locatie]],Tabel2[Locatiecode],Tabel2[Basisfrequentie],0,0)=Locatieoverzicht!$F$47,VLOOKUP("fe",WkDagen[],YEAR(NOW())-2020,FALSE),""))</f>
        <v/>
      </c>
    </row>
    <row r="441" spans="1:11" x14ac:dyDescent="0.2">
      <c r="A441" s="493" t="s">
        <v>261</v>
      </c>
      <c r="B441" s="492" t="s">
        <v>301</v>
      </c>
      <c r="C441" s="493" t="s">
        <v>67</v>
      </c>
      <c r="D441" s="491" t="s">
        <v>310</v>
      </c>
      <c r="E441" s="493" t="s">
        <v>5</v>
      </c>
      <c r="F441" s="493" t="s">
        <v>6</v>
      </c>
      <c r="G441" s="494">
        <v>27.6</v>
      </c>
      <c r="H441" s="495" cm="1">
        <f t="array" aca="1" ref="H44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41" s="498" t="str">
        <f ca="1">IF(Inventarisatie[[#This Row],[Freq. Ma-Vr]]=0,0,IF(ISNUMBER(SEARCH("/",_xlfn.XLOOKUP(Inventarisatie[[#This Row],[Locatie]],Tabel2[Locatiecode],Tabel2[Basisfrequentie],0,0))),VLOOKUP("za",WkDagen[],YEAR(NOW())-2020,FALSE),""))</f>
        <v/>
      </c>
      <c r="J441"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41" s="498" t="str">
        <f ca="1">IF(Inventarisatie[[#This Row],[Freq. Ma-Vr]]=0,0,IF(_xlfn.XLOOKUP(Inventarisatie[[#This Row],[Locatie]],Tabel2[Locatiecode],Tabel2[Basisfrequentie],0,0)=Locatieoverzicht!$F$47,VLOOKUP("fe",WkDagen[],YEAR(NOW())-2020,FALSE),""))</f>
        <v/>
      </c>
    </row>
    <row r="442" spans="1:11" x14ac:dyDescent="0.2">
      <c r="A442" s="493" t="s">
        <v>261</v>
      </c>
      <c r="B442" s="492" t="s">
        <v>301</v>
      </c>
      <c r="C442" s="493" t="s">
        <v>68</v>
      </c>
      <c r="D442" s="491" t="s">
        <v>310</v>
      </c>
      <c r="E442" s="493" t="s">
        <v>5</v>
      </c>
      <c r="F442" s="493" t="s">
        <v>6</v>
      </c>
      <c r="G442" s="494">
        <v>26.6</v>
      </c>
      <c r="H442" s="495" cm="1">
        <f t="array" aca="1" ref="H44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42" s="498" t="str">
        <f ca="1">IF(Inventarisatie[[#This Row],[Freq. Ma-Vr]]=0,0,IF(ISNUMBER(SEARCH("/",_xlfn.XLOOKUP(Inventarisatie[[#This Row],[Locatie]],Tabel2[Locatiecode],Tabel2[Basisfrequentie],0,0))),VLOOKUP("za",WkDagen[],YEAR(NOW())-2020,FALSE),""))</f>
        <v/>
      </c>
      <c r="J442" s="498" t="str">
        <f ca="1">IF(Inventarisatie[[#This Row],[Freq. Ma-Vr]]=0,0,IF(ISNUMBER(SEARCH("/",_xlfn.XLOOKUP(Inventarisatie[[#This Row],[Locatie]],Tabel2[Locatiecode],Tabel2[Basisfrequentie],0,0))),IF(_xlfn.XLOOKUP(Inventarisatie[[#This Row],[Locatie]],Tabel2[Locatiecode],Tabel2[Basisfrequentie],0,0)&lt;&gt;Locatieoverzicht!$F$45,VLOOKUP("zo",WkDagen[],YEAR(NOW())-2020,FALSE),""),""))</f>
        <v/>
      </c>
      <c r="K442" s="498" t="str">
        <f ca="1">IF(Inventarisatie[[#This Row],[Freq. Ma-Vr]]=0,0,IF(_xlfn.XLOOKUP(Inventarisatie[[#This Row],[Locatie]],Tabel2[Locatiecode],Tabel2[Basisfrequentie],0,0)=Locatieoverzicht!$F$47,VLOOKUP("fe",WkDagen[],YEAR(NOW())-2020,FALSE),""))</f>
        <v/>
      </c>
    </row>
    <row r="443" spans="1:11" x14ac:dyDescent="0.2">
      <c r="A443" s="493" t="s">
        <v>537</v>
      </c>
      <c r="B443" s="511" t="s">
        <v>503</v>
      </c>
      <c r="C443" s="493"/>
      <c r="D443" s="491"/>
      <c r="E443" s="512" t="s">
        <v>511</v>
      </c>
      <c r="F443" s="513" t="s">
        <v>538</v>
      </c>
      <c r="G443" s="494">
        <v>100</v>
      </c>
      <c r="H443" s="495">
        <v>0</v>
      </c>
      <c r="I443" s="498">
        <f ca="1">IF(Inventarisatie[[#This Row],[Freq. Ma-Vr]]=0,0,IF(ISNUMBER(SEARCH("/",_xlfn.XLOOKUP(Inventarisatie[[#This Row],[Locatie]],Tabel2[Locatiecode],Tabel2[Basisfrequentie],0,0))),VLOOKUP("za",WkDagen[],YEAR(NOW())-2020,FALSE),""))</f>
        <v>0</v>
      </c>
      <c r="J443"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0</v>
      </c>
      <c r="K443" s="498">
        <f ca="1">IF(Inventarisatie[[#This Row],[Freq. Ma-Vr]]=0,0,IF(_xlfn.XLOOKUP(Inventarisatie[[#This Row],[Locatie]],Tabel2[Locatiecode],Tabel2[Basisfrequentie],0,0)=Locatieoverzicht!$F$47,VLOOKUP("fe",WkDagen[],YEAR(NOW())-2020,FALSE),""))</f>
        <v>0</v>
      </c>
    </row>
    <row r="444" spans="1:11" x14ac:dyDescent="0.2">
      <c r="A444" s="493" t="s">
        <v>537</v>
      </c>
      <c r="B444" s="511" t="s">
        <v>504</v>
      </c>
      <c r="C444" s="493"/>
      <c r="D444" s="491" t="s">
        <v>310</v>
      </c>
      <c r="E444" s="512" t="s">
        <v>512</v>
      </c>
      <c r="F444" s="513" t="s">
        <v>268</v>
      </c>
      <c r="G444" s="494">
        <v>200</v>
      </c>
      <c r="H444" s="495" cm="1">
        <f t="array" aca="1" ref="H44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44" s="498">
        <f ca="1">IF(Inventarisatie[[#This Row],[Freq. Ma-Vr]]=0,0,IF(ISNUMBER(SEARCH("/",_xlfn.XLOOKUP(Inventarisatie[[#This Row],[Locatie]],Tabel2[Locatiecode],Tabel2[Basisfrequentie],0,0))),VLOOKUP("za",WkDagen[],YEAR(NOW())-2020,FALSE),""))</f>
        <v>52</v>
      </c>
      <c r="J444"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44" s="498">
        <f ca="1">IF(Inventarisatie[[#This Row],[Freq. Ma-Vr]]=0,0,IF(_xlfn.XLOOKUP(Inventarisatie[[#This Row],[Locatie]],Tabel2[Locatiecode],Tabel2[Basisfrequentie],0,0)=Locatieoverzicht!$F$47,VLOOKUP("fe",WkDagen[],YEAR(NOW())-2020,FALSE),""))</f>
        <v>9</v>
      </c>
    </row>
    <row r="445" spans="1:11" x14ac:dyDescent="0.2">
      <c r="A445" s="493" t="s">
        <v>537</v>
      </c>
      <c r="B445" s="511" t="s">
        <v>504</v>
      </c>
      <c r="C445" s="493"/>
      <c r="D445" s="491" t="s">
        <v>307</v>
      </c>
      <c r="E445" s="512" t="s">
        <v>513</v>
      </c>
      <c r="F445" s="513" t="s">
        <v>268</v>
      </c>
      <c r="G445" s="494">
        <v>15</v>
      </c>
      <c r="H445" s="495" cm="1">
        <f t="array" aca="1" ref="H44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45" s="498">
        <f ca="1">IF(Inventarisatie[[#This Row],[Freq. Ma-Vr]]=0,0,IF(ISNUMBER(SEARCH("/",_xlfn.XLOOKUP(Inventarisatie[[#This Row],[Locatie]],Tabel2[Locatiecode],Tabel2[Basisfrequentie],0,0))),VLOOKUP("za",WkDagen[],YEAR(NOW())-2020,FALSE),""))</f>
        <v>52</v>
      </c>
      <c r="J445"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45" s="498">
        <f ca="1">IF(Inventarisatie[[#This Row],[Freq. Ma-Vr]]=0,0,IF(_xlfn.XLOOKUP(Inventarisatie[[#This Row],[Locatie]],Tabel2[Locatiecode],Tabel2[Basisfrequentie],0,0)=Locatieoverzicht!$F$47,VLOOKUP("fe",WkDagen[],YEAR(NOW())-2020,FALSE),""))</f>
        <v>9</v>
      </c>
    </row>
    <row r="446" spans="1:11" x14ac:dyDescent="0.2">
      <c r="A446" s="493" t="s">
        <v>537</v>
      </c>
      <c r="B446" s="511" t="s">
        <v>504</v>
      </c>
      <c r="C446" s="493"/>
      <c r="D446" s="491" t="s">
        <v>307</v>
      </c>
      <c r="E446" s="512" t="s">
        <v>514</v>
      </c>
      <c r="F446" s="513" t="s">
        <v>268</v>
      </c>
      <c r="G446" s="494">
        <v>15</v>
      </c>
      <c r="H446" s="495" cm="1">
        <f t="array" aca="1" ref="H44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46" s="498">
        <f ca="1">IF(Inventarisatie[[#This Row],[Freq. Ma-Vr]]=0,0,IF(ISNUMBER(SEARCH("/",_xlfn.XLOOKUP(Inventarisatie[[#This Row],[Locatie]],Tabel2[Locatiecode],Tabel2[Basisfrequentie],0,0))),VLOOKUP("za",WkDagen[],YEAR(NOW())-2020,FALSE),""))</f>
        <v>52</v>
      </c>
      <c r="J446"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46" s="498">
        <f ca="1">IF(Inventarisatie[[#This Row],[Freq. Ma-Vr]]=0,0,IF(_xlfn.XLOOKUP(Inventarisatie[[#This Row],[Locatie]],Tabel2[Locatiecode],Tabel2[Basisfrequentie],0,0)=Locatieoverzicht!$F$47,VLOOKUP("fe",WkDagen[],YEAR(NOW())-2020,FALSE),""))</f>
        <v>9</v>
      </c>
    </row>
    <row r="447" spans="1:11" x14ac:dyDescent="0.2">
      <c r="A447" s="493" t="s">
        <v>537</v>
      </c>
      <c r="B447" s="511" t="s">
        <v>504</v>
      </c>
      <c r="C447" s="493"/>
      <c r="D447" s="491" t="s">
        <v>310</v>
      </c>
      <c r="E447" s="512" t="s">
        <v>515</v>
      </c>
      <c r="F447" s="513" t="s">
        <v>268</v>
      </c>
      <c r="G447" s="494">
        <v>426.5</v>
      </c>
      <c r="H447" s="495" cm="1">
        <f t="array" aca="1" ref="H44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47" s="498">
        <f ca="1">IF(Inventarisatie[[#This Row],[Freq. Ma-Vr]]=0,0,IF(ISNUMBER(SEARCH("/",_xlfn.XLOOKUP(Inventarisatie[[#This Row],[Locatie]],Tabel2[Locatiecode],Tabel2[Basisfrequentie],0,0))),VLOOKUP("za",WkDagen[],YEAR(NOW())-2020,FALSE),""))</f>
        <v>52</v>
      </c>
      <c r="J447"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47" s="498">
        <f ca="1">IF(Inventarisatie[[#This Row],[Freq. Ma-Vr]]=0,0,IF(_xlfn.XLOOKUP(Inventarisatie[[#This Row],[Locatie]],Tabel2[Locatiecode],Tabel2[Basisfrequentie],0,0)=Locatieoverzicht!$F$47,VLOOKUP("fe",WkDagen[],YEAR(NOW())-2020,FALSE),""))</f>
        <v>9</v>
      </c>
    </row>
    <row r="448" spans="1:11" x14ac:dyDescent="0.2">
      <c r="A448" s="493" t="s">
        <v>537</v>
      </c>
      <c r="B448" s="511" t="s">
        <v>504</v>
      </c>
      <c r="C448" s="493"/>
      <c r="D448" s="491" t="s">
        <v>307</v>
      </c>
      <c r="E448" s="512" t="s">
        <v>516</v>
      </c>
      <c r="F448" s="513" t="s">
        <v>268</v>
      </c>
      <c r="G448" s="494">
        <v>9.5</v>
      </c>
      <c r="H448" s="495" cm="1">
        <f t="array" aca="1" ref="H44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48" s="498">
        <f ca="1">IF(Inventarisatie[[#This Row],[Freq. Ma-Vr]]=0,0,IF(ISNUMBER(SEARCH("/",_xlfn.XLOOKUP(Inventarisatie[[#This Row],[Locatie]],Tabel2[Locatiecode],Tabel2[Basisfrequentie],0,0))),VLOOKUP("za",WkDagen[],YEAR(NOW())-2020,FALSE),""))</f>
        <v>52</v>
      </c>
      <c r="J448"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48" s="498">
        <f ca="1">IF(Inventarisatie[[#This Row],[Freq. Ma-Vr]]=0,0,IF(_xlfn.XLOOKUP(Inventarisatie[[#This Row],[Locatie]],Tabel2[Locatiecode],Tabel2[Basisfrequentie],0,0)=Locatieoverzicht!$F$47,VLOOKUP("fe",WkDagen[],YEAR(NOW())-2020,FALSE),""))</f>
        <v>9</v>
      </c>
    </row>
    <row r="449" spans="1:11" x14ac:dyDescent="0.2">
      <c r="A449" s="493" t="s">
        <v>537</v>
      </c>
      <c r="B449" s="511" t="s">
        <v>504</v>
      </c>
      <c r="C449" s="493"/>
      <c r="D449" s="491" t="s">
        <v>307</v>
      </c>
      <c r="E449" s="512" t="s">
        <v>517</v>
      </c>
      <c r="F449" s="513" t="s">
        <v>268</v>
      </c>
      <c r="G449" s="494">
        <v>8.5</v>
      </c>
      <c r="H449" s="495" cm="1">
        <f t="array" aca="1" ref="H44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49" s="498">
        <f ca="1">IF(Inventarisatie[[#This Row],[Freq. Ma-Vr]]=0,0,IF(ISNUMBER(SEARCH("/",_xlfn.XLOOKUP(Inventarisatie[[#This Row],[Locatie]],Tabel2[Locatiecode],Tabel2[Basisfrequentie],0,0))),VLOOKUP("za",WkDagen[],YEAR(NOW())-2020,FALSE),""))</f>
        <v>52</v>
      </c>
      <c r="J449"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49" s="498">
        <f ca="1">IF(Inventarisatie[[#This Row],[Freq. Ma-Vr]]=0,0,IF(_xlfn.XLOOKUP(Inventarisatie[[#This Row],[Locatie]],Tabel2[Locatiecode],Tabel2[Basisfrequentie],0,0)=Locatieoverzicht!$F$47,VLOOKUP("fe",WkDagen[],YEAR(NOW())-2020,FALSE),""))</f>
        <v>9</v>
      </c>
    </row>
    <row r="450" spans="1:11" x14ac:dyDescent="0.2">
      <c r="A450" s="493" t="s">
        <v>537</v>
      </c>
      <c r="B450" s="511" t="s">
        <v>504</v>
      </c>
      <c r="C450" s="493"/>
      <c r="D450" s="491" t="s">
        <v>307</v>
      </c>
      <c r="E450" s="512" t="s">
        <v>518</v>
      </c>
      <c r="F450" s="513" t="s">
        <v>268</v>
      </c>
      <c r="G450" s="494">
        <v>8.5</v>
      </c>
      <c r="H450" s="495" cm="1">
        <f t="array" aca="1" ref="H45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50" s="498">
        <f ca="1">IF(Inventarisatie[[#This Row],[Freq. Ma-Vr]]=0,0,IF(ISNUMBER(SEARCH("/",_xlfn.XLOOKUP(Inventarisatie[[#This Row],[Locatie]],Tabel2[Locatiecode],Tabel2[Basisfrequentie],0,0))),VLOOKUP("za",WkDagen[],YEAR(NOW())-2020,FALSE),""))</f>
        <v>52</v>
      </c>
      <c r="J450"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50" s="498">
        <f ca="1">IF(Inventarisatie[[#This Row],[Freq. Ma-Vr]]=0,0,IF(_xlfn.XLOOKUP(Inventarisatie[[#This Row],[Locatie]],Tabel2[Locatiecode],Tabel2[Basisfrequentie],0,0)=Locatieoverzicht!$F$47,VLOOKUP("fe",WkDagen[],YEAR(NOW())-2020,FALSE),""))</f>
        <v>9</v>
      </c>
    </row>
    <row r="451" spans="1:11" x14ac:dyDescent="0.2">
      <c r="A451" s="493" t="s">
        <v>537</v>
      </c>
      <c r="B451" s="511" t="s">
        <v>504</v>
      </c>
      <c r="C451" s="493"/>
      <c r="D451" s="491" t="s">
        <v>307</v>
      </c>
      <c r="E451" s="512" t="s">
        <v>519</v>
      </c>
      <c r="F451" s="513" t="s">
        <v>268</v>
      </c>
      <c r="G451" s="494">
        <v>8.5</v>
      </c>
      <c r="H451" s="495" cm="1">
        <f t="array" aca="1" ref="H45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51" s="498">
        <f ca="1">IF(Inventarisatie[[#This Row],[Freq. Ma-Vr]]=0,0,IF(ISNUMBER(SEARCH("/",_xlfn.XLOOKUP(Inventarisatie[[#This Row],[Locatie]],Tabel2[Locatiecode],Tabel2[Basisfrequentie],0,0))),VLOOKUP("za",WkDagen[],YEAR(NOW())-2020,FALSE),""))</f>
        <v>52</v>
      </c>
      <c r="J451"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51" s="498">
        <f ca="1">IF(Inventarisatie[[#This Row],[Freq. Ma-Vr]]=0,0,IF(_xlfn.XLOOKUP(Inventarisatie[[#This Row],[Locatie]],Tabel2[Locatiecode],Tabel2[Basisfrequentie],0,0)=Locatieoverzicht!$F$47,VLOOKUP("fe",WkDagen[],YEAR(NOW())-2020,FALSE),""))</f>
        <v>9</v>
      </c>
    </row>
    <row r="452" spans="1:11" x14ac:dyDescent="0.2">
      <c r="A452" s="493" t="s">
        <v>537</v>
      </c>
      <c r="B452" s="511" t="s">
        <v>504</v>
      </c>
      <c r="C452" s="493"/>
      <c r="D452" s="491" t="s">
        <v>307</v>
      </c>
      <c r="E452" s="512" t="s">
        <v>520</v>
      </c>
      <c r="F452" s="513" t="s">
        <v>268</v>
      </c>
      <c r="G452" s="494">
        <v>8.5</v>
      </c>
      <c r="H452" s="495" cm="1">
        <f t="array" aca="1" ref="H45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52" s="498">
        <f ca="1">IF(Inventarisatie[[#This Row],[Freq. Ma-Vr]]=0,0,IF(ISNUMBER(SEARCH("/",_xlfn.XLOOKUP(Inventarisatie[[#This Row],[Locatie]],Tabel2[Locatiecode],Tabel2[Basisfrequentie],0,0))),VLOOKUP("za",WkDagen[],YEAR(NOW())-2020,FALSE),""))</f>
        <v>52</v>
      </c>
      <c r="J452"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52" s="498">
        <f ca="1">IF(Inventarisatie[[#This Row],[Freq. Ma-Vr]]=0,0,IF(_xlfn.XLOOKUP(Inventarisatie[[#This Row],[Locatie]],Tabel2[Locatiecode],Tabel2[Basisfrequentie],0,0)=Locatieoverzicht!$F$47,VLOOKUP("fe",WkDagen[],YEAR(NOW())-2020,FALSE),""))</f>
        <v>9</v>
      </c>
    </row>
    <row r="453" spans="1:11" x14ac:dyDescent="0.2">
      <c r="A453" s="493" t="s">
        <v>537</v>
      </c>
      <c r="B453" s="511" t="s">
        <v>504</v>
      </c>
      <c r="C453" s="493"/>
      <c r="D453" s="491" t="s">
        <v>312</v>
      </c>
      <c r="E453" s="512" t="s">
        <v>521</v>
      </c>
      <c r="F453" s="513" t="s">
        <v>268</v>
      </c>
      <c r="G453" s="494">
        <v>200</v>
      </c>
      <c r="H453" s="495" cm="1">
        <f t="array" aca="1" ref="H45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53" s="498">
        <f ca="1">IF(Inventarisatie[[#This Row],[Freq. Ma-Vr]]=0,0,IF(ISNUMBER(SEARCH("/",_xlfn.XLOOKUP(Inventarisatie[[#This Row],[Locatie]],Tabel2[Locatiecode],Tabel2[Basisfrequentie],0,0))),VLOOKUP("za",WkDagen[],YEAR(NOW())-2020,FALSE),""))</f>
        <v>52</v>
      </c>
      <c r="J453"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53" s="498">
        <f ca="1">IF(Inventarisatie[[#This Row],[Freq. Ma-Vr]]=0,0,IF(_xlfn.XLOOKUP(Inventarisatie[[#This Row],[Locatie]],Tabel2[Locatiecode],Tabel2[Basisfrequentie],0,0)=Locatieoverzicht!$F$47,VLOOKUP("fe",WkDagen[],YEAR(NOW())-2020,FALSE),""))</f>
        <v>9</v>
      </c>
    </row>
    <row r="454" spans="1:11" x14ac:dyDescent="0.2">
      <c r="A454" s="493" t="s">
        <v>537</v>
      </c>
      <c r="B454" s="511" t="s">
        <v>505</v>
      </c>
      <c r="C454" s="493"/>
      <c r="D454" s="491"/>
      <c r="E454" s="512" t="s">
        <v>511</v>
      </c>
      <c r="F454" s="513" t="s">
        <v>538</v>
      </c>
      <c r="G454" s="494">
        <v>37.5</v>
      </c>
      <c r="H454" s="495">
        <v>0</v>
      </c>
      <c r="I454" s="498">
        <f ca="1">IF(Inventarisatie[[#This Row],[Freq. Ma-Vr]]=0,0,IF(ISNUMBER(SEARCH("/",_xlfn.XLOOKUP(Inventarisatie[[#This Row],[Locatie]],Tabel2[Locatiecode],Tabel2[Basisfrequentie],0,0))),VLOOKUP("za",WkDagen[],YEAR(NOW())-2020,FALSE),""))</f>
        <v>0</v>
      </c>
      <c r="J454"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0</v>
      </c>
      <c r="K454" s="498">
        <f ca="1">IF(Inventarisatie[[#This Row],[Freq. Ma-Vr]]=0,0,IF(_xlfn.XLOOKUP(Inventarisatie[[#This Row],[Locatie]],Tabel2[Locatiecode],Tabel2[Basisfrequentie],0,0)=Locatieoverzicht!$F$47,VLOOKUP("fe",WkDagen[],YEAR(NOW())-2020,FALSE),""))</f>
        <v>0</v>
      </c>
    </row>
    <row r="455" spans="1:11" x14ac:dyDescent="0.2">
      <c r="A455" s="493" t="s">
        <v>537</v>
      </c>
      <c r="B455" s="511" t="s">
        <v>506</v>
      </c>
      <c r="C455" s="493"/>
      <c r="D455" s="491" t="s">
        <v>312</v>
      </c>
      <c r="E455" s="512" t="s">
        <v>506</v>
      </c>
      <c r="F455" s="513" t="s">
        <v>268</v>
      </c>
      <c r="G455" s="494">
        <v>30</v>
      </c>
      <c r="H455" s="495" cm="1">
        <f t="array" aca="1" ref="H45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55" s="498">
        <f ca="1">IF(Inventarisatie[[#This Row],[Freq. Ma-Vr]]=0,0,IF(ISNUMBER(SEARCH("/",_xlfn.XLOOKUP(Inventarisatie[[#This Row],[Locatie]],Tabel2[Locatiecode],Tabel2[Basisfrequentie],0,0))),VLOOKUP("za",WkDagen[],YEAR(NOW())-2020,FALSE),""))</f>
        <v>52</v>
      </c>
      <c r="J455"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55" s="498">
        <f ca="1">IF(Inventarisatie[[#This Row],[Freq. Ma-Vr]]=0,0,IF(_xlfn.XLOOKUP(Inventarisatie[[#This Row],[Locatie]],Tabel2[Locatiecode],Tabel2[Basisfrequentie],0,0)=Locatieoverzicht!$F$47,VLOOKUP("fe",WkDagen[],YEAR(NOW())-2020,FALSE),""))</f>
        <v>9</v>
      </c>
    </row>
    <row r="456" spans="1:11" x14ac:dyDescent="0.2">
      <c r="A456" s="493" t="s">
        <v>537</v>
      </c>
      <c r="B456" s="511" t="s">
        <v>507</v>
      </c>
      <c r="C456" s="493"/>
      <c r="D456" s="491" t="s">
        <v>311</v>
      </c>
      <c r="E456" s="512" t="s">
        <v>522</v>
      </c>
      <c r="F456" s="513" t="s">
        <v>268</v>
      </c>
      <c r="G456" s="494">
        <v>13.5</v>
      </c>
      <c r="H456" s="495" cm="1">
        <f t="array" aca="1" ref="H45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56" s="498">
        <f ca="1">IF(Inventarisatie[[#This Row],[Freq. Ma-Vr]]=0,0,IF(ISNUMBER(SEARCH("/",_xlfn.XLOOKUP(Inventarisatie[[#This Row],[Locatie]],Tabel2[Locatiecode],Tabel2[Basisfrequentie],0,0))),VLOOKUP("za",WkDagen[],YEAR(NOW())-2020,FALSE),""))</f>
        <v>52</v>
      </c>
      <c r="J456"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56" s="498">
        <f ca="1">IF(Inventarisatie[[#This Row],[Freq. Ma-Vr]]=0,0,IF(_xlfn.XLOOKUP(Inventarisatie[[#This Row],[Locatie]],Tabel2[Locatiecode],Tabel2[Basisfrequentie],0,0)=Locatieoverzicht!$F$47,VLOOKUP("fe",WkDagen[],YEAR(NOW())-2020,FALSE),""))</f>
        <v>9</v>
      </c>
    </row>
    <row r="457" spans="1:11" x14ac:dyDescent="0.2">
      <c r="A457" s="493" t="s">
        <v>537</v>
      </c>
      <c r="B457" s="511" t="s">
        <v>507</v>
      </c>
      <c r="C457" s="493"/>
      <c r="D457" s="491" t="s">
        <v>311</v>
      </c>
      <c r="E457" s="512" t="s">
        <v>523</v>
      </c>
      <c r="F457" s="513" t="s">
        <v>268</v>
      </c>
      <c r="G457" s="494">
        <v>5.5</v>
      </c>
      <c r="H457" s="495" cm="1">
        <f t="array" aca="1" ref="H45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57" s="498">
        <f ca="1">IF(Inventarisatie[[#This Row],[Freq. Ma-Vr]]=0,0,IF(ISNUMBER(SEARCH("/",_xlfn.XLOOKUP(Inventarisatie[[#This Row],[Locatie]],Tabel2[Locatiecode],Tabel2[Basisfrequentie],0,0))),VLOOKUP("za",WkDagen[],YEAR(NOW())-2020,FALSE),""))</f>
        <v>52</v>
      </c>
      <c r="J457"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57" s="498">
        <f ca="1">IF(Inventarisatie[[#This Row],[Freq. Ma-Vr]]=0,0,IF(_xlfn.XLOOKUP(Inventarisatie[[#This Row],[Locatie]],Tabel2[Locatiecode],Tabel2[Basisfrequentie],0,0)=Locatieoverzicht!$F$47,VLOOKUP("fe",WkDagen[],YEAR(NOW())-2020,FALSE),""))</f>
        <v>9</v>
      </c>
    </row>
    <row r="458" spans="1:11" x14ac:dyDescent="0.2">
      <c r="A458" s="493" t="s">
        <v>537</v>
      </c>
      <c r="B458" s="511" t="s">
        <v>507</v>
      </c>
      <c r="C458" s="493"/>
      <c r="D458" s="491" t="s">
        <v>311</v>
      </c>
      <c r="E458" s="512" t="s">
        <v>524</v>
      </c>
      <c r="F458" s="513" t="s">
        <v>268</v>
      </c>
      <c r="G458" s="494">
        <v>31</v>
      </c>
      <c r="H458" s="495" cm="1">
        <f t="array" aca="1" ref="H45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58" s="498">
        <f ca="1">IF(Inventarisatie[[#This Row],[Freq. Ma-Vr]]=0,0,IF(ISNUMBER(SEARCH("/",_xlfn.XLOOKUP(Inventarisatie[[#This Row],[Locatie]],Tabel2[Locatiecode],Tabel2[Basisfrequentie],0,0))),VLOOKUP("za",WkDagen[],YEAR(NOW())-2020,FALSE),""))</f>
        <v>52</v>
      </c>
      <c r="J458"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58" s="498">
        <f ca="1">IF(Inventarisatie[[#This Row],[Freq. Ma-Vr]]=0,0,IF(_xlfn.XLOOKUP(Inventarisatie[[#This Row],[Locatie]],Tabel2[Locatiecode],Tabel2[Basisfrequentie],0,0)=Locatieoverzicht!$F$47,VLOOKUP("fe",WkDagen[],YEAR(NOW())-2020,FALSE),""))</f>
        <v>9</v>
      </c>
    </row>
    <row r="459" spans="1:11" x14ac:dyDescent="0.2">
      <c r="A459" s="493" t="s">
        <v>537</v>
      </c>
      <c r="B459" s="511" t="s">
        <v>507</v>
      </c>
      <c r="C459" s="493"/>
      <c r="D459" s="491" t="s">
        <v>311</v>
      </c>
      <c r="E459" s="512" t="s">
        <v>522</v>
      </c>
      <c r="F459" s="513" t="s">
        <v>268</v>
      </c>
      <c r="G459" s="494">
        <v>13.5</v>
      </c>
      <c r="H459" s="495" cm="1">
        <f t="array" aca="1" ref="H45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59" s="498">
        <f ca="1">IF(Inventarisatie[[#This Row],[Freq. Ma-Vr]]=0,0,IF(ISNUMBER(SEARCH("/",_xlfn.XLOOKUP(Inventarisatie[[#This Row],[Locatie]],Tabel2[Locatiecode],Tabel2[Basisfrequentie],0,0))),VLOOKUP("za",WkDagen[],YEAR(NOW())-2020,FALSE),""))</f>
        <v>52</v>
      </c>
      <c r="J459"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59" s="498">
        <f ca="1">IF(Inventarisatie[[#This Row],[Freq. Ma-Vr]]=0,0,IF(_xlfn.XLOOKUP(Inventarisatie[[#This Row],[Locatie]],Tabel2[Locatiecode],Tabel2[Basisfrequentie],0,0)=Locatieoverzicht!$F$47,VLOOKUP("fe",WkDagen[],YEAR(NOW())-2020,FALSE),""))</f>
        <v>9</v>
      </c>
    </row>
    <row r="460" spans="1:11" x14ac:dyDescent="0.2">
      <c r="A460" s="493" t="s">
        <v>537</v>
      </c>
      <c r="B460" s="511" t="s">
        <v>507</v>
      </c>
      <c r="C460" s="493"/>
      <c r="D460" s="491"/>
      <c r="E460" s="514" t="s">
        <v>525</v>
      </c>
      <c r="F460" s="515" t="s">
        <v>268</v>
      </c>
      <c r="G460" s="494">
        <v>8.5</v>
      </c>
      <c r="H460" s="495">
        <v>0</v>
      </c>
      <c r="I460" s="498">
        <f ca="1">IF(Inventarisatie[[#This Row],[Freq. Ma-Vr]]=0,0,IF(ISNUMBER(SEARCH("/",_xlfn.XLOOKUP(Inventarisatie[[#This Row],[Locatie]],Tabel2[Locatiecode],Tabel2[Basisfrequentie],0,0))),VLOOKUP("za",WkDagen[],YEAR(NOW())-2020,FALSE),""))</f>
        <v>0</v>
      </c>
      <c r="J460"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0</v>
      </c>
      <c r="K460" s="498">
        <f ca="1">IF(Inventarisatie[[#This Row],[Freq. Ma-Vr]]=0,0,IF(_xlfn.XLOOKUP(Inventarisatie[[#This Row],[Locatie]],Tabel2[Locatiecode],Tabel2[Basisfrequentie],0,0)=Locatieoverzicht!$F$47,VLOOKUP("fe",WkDagen[],YEAR(NOW())-2020,FALSE),""))</f>
        <v>0</v>
      </c>
    </row>
    <row r="461" spans="1:11" x14ac:dyDescent="0.2">
      <c r="A461" s="493" t="s">
        <v>537</v>
      </c>
      <c r="B461" s="511" t="s">
        <v>507</v>
      </c>
      <c r="C461" s="493"/>
      <c r="D461" s="491" t="s">
        <v>311</v>
      </c>
      <c r="E461" s="514" t="s">
        <v>524</v>
      </c>
      <c r="F461" s="515" t="s">
        <v>268</v>
      </c>
      <c r="G461" s="494">
        <v>28</v>
      </c>
      <c r="H461" s="495" cm="1">
        <f t="array" aca="1" ref="H46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61" s="498">
        <f ca="1">IF(Inventarisatie[[#This Row],[Freq. Ma-Vr]]=0,0,IF(ISNUMBER(SEARCH("/",_xlfn.XLOOKUP(Inventarisatie[[#This Row],[Locatie]],Tabel2[Locatiecode],Tabel2[Basisfrequentie],0,0))),VLOOKUP("za",WkDagen[],YEAR(NOW())-2020,FALSE),""))</f>
        <v>52</v>
      </c>
      <c r="J461"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61" s="498">
        <f ca="1">IF(Inventarisatie[[#This Row],[Freq. Ma-Vr]]=0,0,IF(_xlfn.XLOOKUP(Inventarisatie[[#This Row],[Locatie]],Tabel2[Locatiecode],Tabel2[Basisfrequentie],0,0)=Locatieoverzicht!$F$47,VLOOKUP("fe",WkDagen[],YEAR(NOW())-2020,FALSE),""))</f>
        <v>9</v>
      </c>
    </row>
    <row r="462" spans="1:11" x14ac:dyDescent="0.2">
      <c r="A462" s="493" t="s">
        <v>537</v>
      </c>
      <c r="B462" s="511" t="s">
        <v>508</v>
      </c>
      <c r="C462" s="493"/>
      <c r="D462" s="491" t="s">
        <v>311</v>
      </c>
      <c r="E462" s="514" t="s">
        <v>522</v>
      </c>
      <c r="F462" s="515" t="s">
        <v>268</v>
      </c>
      <c r="G462" s="494">
        <v>13.5</v>
      </c>
      <c r="H462" s="495" cm="1">
        <f t="array" aca="1" ref="H46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62" s="498">
        <f ca="1">IF(Inventarisatie[[#This Row],[Freq. Ma-Vr]]=0,0,IF(ISNUMBER(SEARCH("/",_xlfn.XLOOKUP(Inventarisatie[[#This Row],[Locatie]],Tabel2[Locatiecode],Tabel2[Basisfrequentie],0,0))),VLOOKUP("za",WkDagen[],YEAR(NOW())-2020,FALSE),""))</f>
        <v>52</v>
      </c>
      <c r="J462"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62" s="498">
        <f ca="1">IF(Inventarisatie[[#This Row],[Freq. Ma-Vr]]=0,0,IF(_xlfn.XLOOKUP(Inventarisatie[[#This Row],[Locatie]],Tabel2[Locatiecode],Tabel2[Basisfrequentie],0,0)=Locatieoverzicht!$F$47,VLOOKUP("fe",WkDagen[],YEAR(NOW())-2020,FALSE),""))</f>
        <v>9</v>
      </c>
    </row>
    <row r="463" spans="1:11" x14ac:dyDescent="0.2">
      <c r="A463" s="493" t="s">
        <v>537</v>
      </c>
      <c r="B463" s="511" t="s">
        <v>509</v>
      </c>
      <c r="C463" s="493"/>
      <c r="D463" s="491"/>
      <c r="E463" s="514" t="s">
        <v>526</v>
      </c>
      <c r="F463" s="515" t="s">
        <v>268</v>
      </c>
      <c r="G463" s="494">
        <v>40</v>
      </c>
      <c r="H463" s="495">
        <v>0</v>
      </c>
      <c r="I463" s="498">
        <f ca="1">IF(Inventarisatie[[#This Row],[Freq. Ma-Vr]]=0,0,IF(ISNUMBER(SEARCH("/",_xlfn.XLOOKUP(Inventarisatie[[#This Row],[Locatie]],Tabel2[Locatiecode],Tabel2[Basisfrequentie],0,0))),VLOOKUP("za",WkDagen[],YEAR(NOW())-2020,FALSE),""))</f>
        <v>0</v>
      </c>
      <c r="J463"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0</v>
      </c>
      <c r="K463" s="498">
        <f ca="1">IF(Inventarisatie[[#This Row],[Freq. Ma-Vr]]=0,0,IF(_xlfn.XLOOKUP(Inventarisatie[[#This Row],[Locatie]],Tabel2[Locatiecode],Tabel2[Basisfrequentie],0,0)=Locatieoverzicht!$F$47,VLOOKUP("fe",WkDagen[],YEAR(NOW())-2020,FALSE),""))</f>
        <v>0</v>
      </c>
    </row>
    <row r="464" spans="1:11" x14ac:dyDescent="0.2">
      <c r="A464" s="493" t="s">
        <v>537</v>
      </c>
      <c r="B464" s="511" t="s">
        <v>510</v>
      </c>
      <c r="C464" s="493"/>
      <c r="D464" s="491" t="s">
        <v>307</v>
      </c>
      <c r="E464" s="514" t="s">
        <v>527</v>
      </c>
      <c r="F464" s="515" t="s">
        <v>268</v>
      </c>
      <c r="G464" s="494">
        <v>16.5</v>
      </c>
      <c r="H464" s="495" cm="1">
        <f t="array" aca="1" ref="H46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64" s="498">
        <f ca="1">IF(Inventarisatie[[#This Row],[Freq. Ma-Vr]]=0,0,IF(ISNUMBER(SEARCH("/",_xlfn.XLOOKUP(Inventarisatie[[#This Row],[Locatie]],Tabel2[Locatiecode],Tabel2[Basisfrequentie],0,0))),VLOOKUP("za",WkDagen[],YEAR(NOW())-2020,FALSE),""))</f>
        <v>52</v>
      </c>
      <c r="J464"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64" s="498">
        <f ca="1">IF(Inventarisatie[[#This Row],[Freq. Ma-Vr]]=0,0,IF(_xlfn.XLOOKUP(Inventarisatie[[#This Row],[Locatie]],Tabel2[Locatiecode],Tabel2[Basisfrequentie],0,0)=Locatieoverzicht!$F$47,VLOOKUP("fe",WkDagen[],YEAR(NOW())-2020,FALSE),""))</f>
        <v>9</v>
      </c>
    </row>
    <row r="465" spans="1:11" x14ac:dyDescent="0.2">
      <c r="A465" s="493" t="s">
        <v>537</v>
      </c>
      <c r="B465" s="511" t="s">
        <v>510</v>
      </c>
      <c r="C465" s="493"/>
      <c r="D465" s="491" t="s">
        <v>312</v>
      </c>
      <c r="E465" s="514" t="s">
        <v>528</v>
      </c>
      <c r="F465" s="515" t="s">
        <v>268</v>
      </c>
      <c r="G465" s="494">
        <v>40</v>
      </c>
      <c r="H465" s="495" cm="1">
        <f t="array" aca="1" ref="H46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65" s="498">
        <f ca="1">IF(Inventarisatie[[#This Row],[Freq. Ma-Vr]]=0,0,IF(ISNUMBER(SEARCH("/",_xlfn.XLOOKUP(Inventarisatie[[#This Row],[Locatie]],Tabel2[Locatiecode],Tabel2[Basisfrequentie],0,0))),VLOOKUP("za",WkDagen[],YEAR(NOW())-2020,FALSE),""))</f>
        <v>52</v>
      </c>
      <c r="J465"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65" s="498">
        <f ca="1">IF(Inventarisatie[[#This Row],[Freq. Ma-Vr]]=0,0,IF(_xlfn.XLOOKUP(Inventarisatie[[#This Row],[Locatie]],Tabel2[Locatiecode],Tabel2[Basisfrequentie],0,0)=Locatieoverzicht!$F$47,VLOOKUP("fe",WkDagen[],YEAR(NOW())-2020,FALSE),""))</f>
        <v>9</v>
      </c>
    </row>
    <row r="466" spans="1:11" x14ac:dyDescent="0.2">
      <c r="A466" s="493" t="s">
        <v>537</v>
      </c>
      <c r="B466" s="511" t="s">
        <v>510</v>
      </c>
      <c r="C466" s="493"/>
      <c r="D466" s="491" t="s">
        <v>312</v>
      </c>
      <c r="E466" s="514" t="s">
        <v>529</v>
      </c>
      <c r="F466" s="515" t="s">
        <v>268</v>
      </c>
      <c r="G466" s="494">
        <v>12</v>
      </c>
      <c r="H466" s="495" cm="1">
        <f t="array" aca="1" ref="H46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66" s="498">
        <f ca="1">IF(Inventarisatie[[#This Row],[Freq. Ma-Vr]]=0,0,IF(ISNUMBER(SEARCH("/",_xlfn.XLOOKUP(Inventarisatie[[#This Row],[Locatie]],Tabel2[Locatiecode],Tabel2[Basisfrequentie],0,0))),VLOOKUP("za",WkDagen[],YEAR(NOW())-2020,FALSE),""))</f>
        <v>52</v>
      </c>
      <c r="J466"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66" s="498">
        <f ca="1">IF(Inventarisatie[[#This Row],[Freq. Ma-Vr]]=0,0,IF(_xlfn.XLOOKUP(Inventarisatie[[#This Row],[Locatie]],Tabel2[Locatiecode],Tabel2[Basisfrequentie],0,0)=Locatieoverzicht!$F$47,VLOOKUP("fe",WkDagen[],YEAR(NOW())-2020,FALSE),""))</f>
        <v>9</v>
      </c>
    </row>
    <row r="467" spans="1:11" x14ac:dyDescent="0.2">
      <c r="A467" s="493" t="s">
        <v>537</v>
      </c>
      <c r="B467" s="511" t="s">
        <v>510</v>
      </c>
      <c r="C467" s="493"/>
      <c r="D467" s="491" t="s">
        <v>312</v>
      </c>
      <c r="E467" s="512" t="s">
        <v>530</v>
      </c>
      <c r="F467" s="513" t="s">
        <v>268</v>
      </c>
      <c r="G467" s="494">
        <v>34.5</v>
      </c>
      <c r="H467" s="495" cm="1">
        <f t="array" aca="1" ref="H46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67" s="498">
        <f ca="1">IF(Inventarisatie[[#This Row],[Freq. Ma-Vr]]=0,0,IF(ISNUMBER(SEARCH("/",_xlfn.XLOOKUP(Inventarisatie[[#This Row],[Locatie]],Tabel2[Locatiecode],Tabel2[Basisfrequentie],0,0))),VLOOKUP("za",WkDagen[],YEAR(NOW())-2020,FALSE),""))</f>
        <v>52</v>
      </c>
      <c r="J467"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67" s="498">
        <f ca="1">IF(Inventarisatie[[#This Row],[Freq. Ma-Vr]]=0,0,IF(_xlfn.XLOOKUP(Inventarisatie[[#This Row],[Locatie]],Tabel2[Locatiecode],Tabel2[Basisfrequentie],0,0)=Locatieoverzicht!$F$47,VLOOKUP("fe",WkDagen[],YEAR(NOW())-2020,FALSE),""))</f>
        <v>9</v>
      </c>
    </row>
    <row r="468" spans="1:11" x14ac:dyDescent="0.2">
      <c r="A468" s="493" t="s">
        <v>537</v>
      </c>
      <c r="B468" s="511" t="s">
        <v>510</v>
      </c>
      <c r="C468" s="493"/>
      <c r="D468" s="491" t="s">
        <v>308</v>
      </c>
      <c r="E468" s="512" t="s">
        <v>531</v>
      </c>
      <c r="F468" s="513" t="s">
        <v>268</v>
      </c>
      <c r="G468" s="494">
        <v>24.5</v>
      </c>
      <c r="H468" s="495" cm="1">
        <f t="array" aca="1" ref="H46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68" s="498">
        <f ca="1">IF(Inventarisatie[[#This Row],[Freq. Ma-Vr]]=0,0,IF(ISNUMBER(SEARCH("/",_xlfn.XLOOKUP(Inventarisatie[[#This Row],[Locatie]],Tabel2[Locatiecode],Tabel2[Basisfrequentie],0,0))),VLOOKUP("za",WkDagen[],YEAR(NOW())-2020,FALSE),""))</f>
        <v>52</v>
      </c>
      <c r="J468"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68" s="498">
        <f ca="1">IF(Inventarisatie[[#This Row],[Freq. Ma-Vr]]=0,0,IF(_xlfn.XLOOKUP(Inventarisatie[[#This Row],[Locatie]],Tabel2[Locatiecode],Tabel2[Basisfrequentie],0,0)=Locatieoverzicht!$F$47,VLOOKUP("fe",WkDagen[],YEAR(NOW())-2020,FALSE),""))</f>
        <v>9</v>
      </c>
    </row>
    <row r="469" spans="1:11" x14ac:dyDescent="0.2">
      <c r="A469" s="493" t="s">
        <v>537</v>
      </c>
      <c r="B469" s="511" t="s">
        <v>510</v>
      </c>
      <c r="C469" s="493"/>
      <c r="D469" s="491" t="s">
        <v>308</v>
      </c>
      <c r="E469" s="512" t="s">
        <v>628</v>
      </c>
      <c r="F469" s="513" t="s">
        <v>268</v>
      </c>
      <c r="G469" s="494">
        <v>225</v>
      </c>
      <c r="H469" s="495" cm="1">
        <f t="array" aca="1" ref="H46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69" s="498">
        <f ca="1">IF(Inventarisatie[[#This Row],[Freq. Ma-Vr]]=0,0,IF(ISNUMBER(SEARCH("/",_xlfn.XLOOKUP(Inventarisatie[[#This Row],[Locatie]],Tabel2[Locatiecode],Tabel2[Basisfrequentie],0,0))),VLOOKUP("za",WkDagen[],YEAR(NOW())-2020,FALSE),""))</f>
        <v>52</v>
      </c>
      <c r="J469"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69" s="498">
        <f ca="1">IF(Inventarisatie[[#This Row],[Freq. Ma-Vr]]=0,0,IF(_xlfn.XLOOKUP(Inventarisatie[[#This Row],[Locatie]],Tabel2[Locatiecode],Tabel2[Basisfrequentie],0,0)=Locatieoverzicht!$F$47,VLOOKUP("fe",WkDagen[],YEAR(NOW())-2020,FALSE),""))</f>
        <v>9</v>
      </c>
    </row>
    <row r="470" spans="1:11" x14ac:dyDescent="0.2">
      <c r="A470" s="493" t="s">
        <v>537</v>
      </c>
      <c r="B470" s="511" t="s">
        <v>510</v>
      </c>
      <c r="C470" s="493"/>
      <c r="D470" s="491" t="s">
        <v>312</v>
      </c>
      <c r="E470" s="512" t="s">
        <v>532</v>
      </c>
      <c r="F470" s="513" t="s">
        <v>268</v>
      </c>
      <c r="G470" s="494">
        <v>97.5</v>
      </c>
      <c r="H470" s="495" cm="1">
        <f t="array" aca="1" ref="H47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70" s="516">
        <f ca="1">IF(Inventarisatie[[#This Row],[Freq. Ma-Vr]]=0,0,IF(ISNUMBER(SEARCH("/",_xlfn.XLOOKUP(Inventarisatie[[#This Row],[Locatie]],Tabel2[Locatiecode],Tabel2[Basisfrequentie],0,0))),VLOOKUP("za",WkDagen[],YEAR(NOW())-2020,FALSE),""))</f>
        <v>52</v>
      </c>
      <c r="J470" s="516">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70" s="516">
        <f ca="1">IF(Inventarisatie[[#This Row],[Freq. Ma-Vr]]=0,0,IF(_xlfn.XLOOKUP(Inventarisatie[[#This Row],[Locatie]],Tabel2[Locatiecode],Tabel2[Basisfrequentie],0,0)=Locatieoverzicht!$F$47,VLOOKUP("fe",WkDagen[],YEAR(NOW())-2020,FALSE),""))</f>
        <v>9</v>
      </c>
    </row>
    <row r="471" spans="1:11" x14ac:dyDescent="0.2">
      <c r="A471" s="493" t="s">
        <v>598</v>
      </c>
      <c r="B471" s="492" t="s">
        <v>599</v>
      </c>
      <c r="C471" s="493" t="s">
        <v>600</v>
      </c>
      <c r="D471" s="491"/>
      <c r="E471" s="493" t="s">
        <v>614</v>
      </c>
      <c r="F471" s="493" t="s">
        <v>268</v>
      </c>
      <c r="G471" s="494">
        <v>40</v>
      </c>
      <c r="H471" s="495">
        <v>0</v>
      </c>
      <c r="I471" s="517"/>
      <c r="J471" s="517"/>
      <c r="K471" s="517"/>
    </row>
    <row r="472" spans="1:11" x14ac:dyDescent="0.2">
      <c r="A472" s="493" t="s">
        <v>598</v>
      </c>
      <c r="B472" s="492" t="s">
        <v>601</v>
      </c>
      <c r="C472" s="493" t="s">
        <v>600</v>
      </c>
      <c r="D472" s="491"/>
      <c r="E472" s="493" t="s">
        <v>600</v>
      </c>
      <c r="F472" s="493" t="s">
        <v>268</v>
      </c>
      <c r="G472" s="494">
        <v>356.8</v>
      </c>
      <c r="H472" s="495">
        <v>0</v>
      </c>
      <c r="I472" s="498"/>
      <c r="J472" s="498"/>
      <c r="K472" s="498"/>
    </row>
    <row r="473" spans="1:11" x14ac:dyDescent="0.2">
      <c r="A473" s="493" t="s">
        <v>598</v>
      </c>
      <c r="B473" s="492" t="s">
        <v>601</v>
      </c>
      <c r="C473" s="493" t="s">
        <v>600</v>
      </c>
      <c r="D473" s="491"/>
      <c r="E473" s="493" t="s">
        <v>615</v>
      </c>
      <c r="F473" s="493" t="s">
        <v>268</v>
      </c>
      <c r="G473" s="494">
        <v>18.3</v>
      </c>
      <c r="H473" s="495">
        <v>0</v>
      </c>
      <c r="I473" s="498"/>
      <c r="J473" s="498"/>
      <c r="K473" s="498"/>
    </row>
    <row r="474" spans="1:11" x14ac:dyDescent="0.2">
      <c r="A474" s="493" t="s">
        <v>598</v>
      </c>
      <c r="B474" s="492" t="s">
        <v>507</v>
      </c>
      <c r="C474" s="493" t="s">
        <v>602</v>
      </c>
      <c r="D474" s="491"/>
      <c r="E474" s="493" t="s">
        <v>616</v>
      </c>
      <c r="F474" s="493" t="s">
        <v>268</v>
      </c>
      <c r="G474" s="494">
        <v>13.5</v>
      </c>
      <c r="H474" s="495">
        <v>0</v>
      </c>
      <c r="I474" s="498"/>
      <c r="J474" s="498"/>
      <c r="K474" s="498"/>
    </row>
    <row r="475" spans="1:11" x14ac:dyDescent="0.2">
      <c r="A475" s="493" t="s">
        <v>598</v>
      </c>
      <c r="B475" s="492" t="s">
        <v>603</v>
      </c>
      <c r="C475" s="493" t="s">
        <v>604</v>
      </c>
      <c r="D475" s="491"/>
      <c r="E475" s="493" t="s">
        <v>604</v>
      </c>
      <c r="F475" s="493" t="s">
        <v>268</v>
      </c>
      <c r="G475" s="494">
        <v>15</v>
      </c>
      <c r="H475" s="495">
        <v>0</v>
      </c>
      <c r="I475" s="498"/>
      <c r="J475" s="498"/>
      <c r="K475" s="498"/>
    </row>
    <row r="476" spans="1:11" x14ac:dyDescent="0.2">
      <c r="A476" s="493" t="s">
        <v>598</v>
      </c>
      <c r="B476" s="492" t="s">
        <v>605</v>
      </c>
      <c r="C476" s="493" t="s">
        <v>606</v>
      </c>
      <c r="D476" s="491"/>
      <c r="E476" s="493" t="s">
        <v>617</v>
      </c>
      <c r="F476" s="493" t="s">
        <v>268</v>
      </c>
      <c r="G476" s="494">
        <v>190</v>
      </c>
      <c r="H476" s="495">
        <v>0</v>
      </c>
      <c r="I476" s="498"/>
      <c r="J476" s="498"/>
      <c r="K476" s="498"/>
    </row>
    <row r="477" spans="1:11" x14ac:dyDescent="0.2">
      <c r="A477" s="493" t="s">
        <v>598</v>
      </c>
      <c r="B477" s="492" t="s">
        <v>605</v>
      </c>
      <c r="C477" s="493" t="s">
        <v>606</v>
      </c>
      <c r="D477" s="491"/>
      <c r="E477" s="493" t="s">
        <v>618</v>
      </c>
      <c r="F477" s="493" t="s">
        <v>268</v>
      </c>
      <c r="G477" s="494">
        <v>10.8</v>
      </c>
      <c r="H477" s="495">
        <v>0</v>
      </c>
      <c r="I477" s="498"/>
      <c r="J477" s="498"/>
      <c r="K477" s="498"/>
    </row>
    <row r="478" spans="1:11" x14ac:dyDescent="0.2">
      <c r="A478" s="493" t="s">
        <v>598</v>
      </c>
      <c r="B478" s="492" t="s">
        <v>605</v>
      </c>
      <c r="C478" s="493" t="s">
        <v>606</v>
      </c>
      <c r="D478" s="491"/>
      <c r="E478" s="493" t="s">
        <v>619</v>
      </c>
      <c r="F478" s="493" t="s">
        <v>268</v>
      </c>
      <c r="G478" s="494">
        <v>10.8</v>
      </c>
      <c r="H478" s="495">
        <v>0</v>
      </c>
      <c r="I478" s="498"/>
      <c r="J478" s="498"/>
      <c r="K478" s="498"/>
    </row>
    <row r="479" spans="1:11" x14ac:dyDescent="0.2">
      <c r="A479" s="493" t="s">
        <v>598</v>
      </c>
      <c r="B479" s="492" t="s">
        <v>605</v>
      </c>
      <c r="C479" s="493" t="s">
        <v>606</v>
      </c>
      <c r="D479" s="491"/>
      <c r="E479" s="493" t="s">
        <v>620</v>
      </c>
      <c r="F479" s="493" t="s">
        <v>268</v>
      </c>
      <c r="G479" s="494">
        <v>10.8</v>
      </c>
      <c r="H479" s="495">
        <v>0</v>
      </c>
      <c r="I479" s="498"/>
      <c r="J479" s="498"/>
      <c r="K479" s="498"/>
    </row>
    <row r="480" spans="1:11" x14ac:dyDescent="0.2">
      <c r="A480" s="493" t="s">
        <v>598</v>
      </c>
      <c r="B480" s="492" t="s">
        <v>605</v>
      </c>
      <c r="C480" s="493" t="s">
        <v>606</v>
      </c>
      <c r="D480" s="491"/>
      <c r="E480" s="493" t="s">
        <v>621</v>
      </c>
      <c r="F480" s="493" t="s">
        <v>268</v>
      </c>
      <c r="G480" s="494">
        <v>11.3</v>
      </c>
      <c r="H480" s="495">
        <v>0</v>
      </c>
      <c r="I480" s="498"/>
      <c r="J480" s="498"/>
      <c r="K480" s="498"/>
    </row>
    <row r="481" spans="1:11" x14ac:dyDescent="0.2">
      <c r="A481" s="493" t="s">
        <v>598</v>
      </c>
      <c r="B481" s="492" t="s">
        <v>605</v>
      </c>
      <c r="C481" s="493" t="s">
        <v>606</v>
      </c>
      <c r="D481" s="491"/>
      <c r="E481" s="493" t="s">
        <v>622</v>
      </c>
      <c r="F481" s="493" t="s">
        <v>268</v>
      </c>
      <c r="G481" s="494">
        <v>426.5</v>
      </c>
      <c r="H481" s="495">
        <v>0</v>
      </c>
      <c r="I481" s="498"/>
      <c r="J481" s="498"/>
      <c r="K481" s="498"/>
    </row>
    <row r="482" spans="1:11" x14ac:dyDescent="0.2">
      <c r="A482" s="493" t="s">
        <v>598</v>
      </c>
      <c r="B482" s="492" t="s">
        <v>607</v>
      </c>
      <c r="C482" s="493" t="s">
        <v>606</v>
      </c>
      <c r="D482" s="491"/>
      <c r="E482" s="493" t="s">
        <v>623</v>
      </c>
      <c r="F482" s="493" t="s">
        <v>268</v>
      </c>
      <c r="G482" s="494">
        <v>200</v>
      </c>
      <c r="H482" s="495">
        <v>0</v>
      </c>
      <c r="I482" s="498"/>
      <c r="J482" s="498"/>
      <c r="K482" s="498"/>
    </row>
    <row r="483" spans="1:11" x14ac:dyDescent="0.2">
      <c r="A483" s="493" t="s">
        <v>598</v>
      </c>
      <c r="B483" s="492" t="s">
        <v>608</v>
      </c>
      <c r="C483" s="493" t="s">
        <v>604</v>
      </c>
      <c r="D483" s="491"/>
      <c r="E483" s="493" t="s">
        <v>624</v>
      </c>
      <c r="F483" s="493" t="s">
        <v>268</v>
      </c>
      <c r="G483" s="494">
        <v>100</v>
      </c>
      <c r="H483" s="495">
        <v>0</v>
      </c>
      <c r="I483" s="498"/>
      <c r="J483" s="498"/>
      <c r="K483" s="498"/>
    </row>
    <row r="484" spans="1:11" x14ac:dyDescent="0.2">
      <c r="A484" s="493" t="s">
        <v>598</v>
      </c>
      <c r="B484" s="492" t="s">
        <v>609</v>
      </c>
      <c r="C484" s="493" t="s">
        <v>610</v>
      </c>
      <c r="D484" s="491"/>
      <c r="E484" s="493" t="s">
        <v>616</v>
      </c>
      <c r="F484" s="493" t="s">
        <v>268</v>
      </c>
      <c r="G484" s="494">
        <v>12.5</v>
      </c>
      <c r="H484" s="495">
        <v>0</v>
      </c>
      <c r="I484" s="498"/>
      <c r="J484" s="498"/>
      <c r="K484" s="498"/>
    </row>
    <row r="485" spans="1:11" x14ac:dyDescent="0.2">
      <c r="A485" s="493" t="s">
        <v>598</v>
      </c>
      <c r="B485" s="492" t="s">
        <v>609</v>
      </c>
      <c r="C485" s="493" t="s">
        <v>610</v>
      </c>
      <c r="D485" s="491"/>
      <c r="E485" s="493" t="s">
        <v>524</v>
      </c>
      <c r="F485" s="493" t="s">
        <v>268</v>
      </c>
      <c r="G485" s="494">
        <v>39</v>
      </c>
      <c r="H485" s="495">
        <v>0</v>
      </c>
      <c r="I485" s="498"/>
      <c r="J485" s="498"/>
      <c r="K485" s="498"/>
    </row>
    <row r="486" spans="1:11" x14ac:dyDescent="0.2">
      <c r="A486" s="493" t="s">
        <v>598</v>
      </c>
      <c r="B486" s="492" t="s">
        <v>609</v>
      </c>
      <c r="C486" s="493" t="s">
        <v>610</v>
      </c>
      <c r="D486" s="491"/>
      <c r="E486" s="493" t="s">
        <v>525</v>
      </c>
      <c r="F486" s="493" t="s">
        <v>268</v>
      </c>
      <c r="G486" s="494">
        <v>8.5</v>
      </c>
      <c r="H486" s="495">
        <v>0</v>
      </c>
      <c r="I486" s="498"/>
      <c r="J486" s="498"/>
      <c r="K486" s="498"/>
    </row>
    <row r="487" spans="1:11" x14ac:dyDescent="0.2">
      <c r="A487" s="493" t="s">
        <v>598</v>
      </c>
      <c r="B487" s="492" t="s">
        <v>609</v>
      </c>
      <c r="C487" s="493" t="s">
        <v>611</v>
      </c>
      <c r="D487" s="491"/>
      <c r="E487" s="493" t="s">
        <v>616</v>
      </c>
      <c r="F487" s="493" t="s">
        <v>268</v>
      </c>
      <c r="G487" s="494">
        <v>12.5</v>
      </c>
      <c r="H487" s="495">
        <v>0</v>
      </c>
      <c r="I487" s="498"/>
      <c r="J487" s="498"/>
      <c r="K487" s="498"/>
    </row>
    <row r="488" spans="1:11" x14ac:dyDescent="0.2">
      <c r="A488" s="493" t="s">
        <v>598</v>
      </c>
      <c r="B488" s="492" t="s">
        <v>609</v>
      </c>
      <c r="C488" s="493" t="s">
        <v>611</v>
      </c>
      <c r="D488" s="491"/>
      <c r="E488" s="493" t="s">
        <v>625</v>
      </c>
      <c r="F488" s="493" t="s">
        <v>268</v>
      </c>
      <c r="G488" s="494">
        <v>5</v>
      </c>
      <c r="H488" s="495">
        <v>0</v>
      </c>
      <c r="I488" s="498"/>
      <c r="J488" s="498"/>
      <c r="K488" s="498"/>
    </row>
    <row r="489" spans="1:11" x14ac:dyDescent="0.2">
      <c r="A489" s="493" t="s">
        <v>598</v>
      </c>
      <c r="B489" s="492" t="s">
        <v>609</v>
      </c>
      <c r="C489" s="493" t="s">
        <v>611</v>
      </c>
      <c r="D489" s="491"/>
      <c r="E489" s="493" t="s">
        <v>524</v>
      </c>
      <c r="F489" s="493" t="s">
        <v>268</v>
      </c>
      <c r="G489" s="494">
        <v>42.5</v>
      </c>
      <c r="H489" s="495">
        <v>0</v>
      </c>
      <c r="I489" s="498"/>
      <c r="J489" s="498"/>
      <c r="K489" s="498"/>
    </row>
    <row r="490" spans="1:11" x14ac:dyDescent="0.2">
      <c r="A490" s="493" t="s">
        <v>598</v>
      </c>
      <c r="B490" s="492" t="s">
        <v>612</v>
      </c>
      <c r="C490" s="493" t="s">
        <v>613</v>
      </c>
      <c r="D490" s="491"/>
      <c r="E490" s="493" t="s">
        <v>530</v>
      </c>
      <c r="F490" s="493" t="s">
        <v>268</v>
      </c>
      <c r="G490" s="494">
        <v>29.5</v>
      </c>
      <c r="H490" s="495">
        <v>0</v>
      </c>
      <c r="I490" s="498"/>
      <c r="J490" s="498"/>
      <c r="K490" s="498"/>
    </row>
    <row r="491" spans="1:11" x14ac:dyDescent="0.2">
      <c r="A491" s="493" t="s">
        <v>598</v>
      </c>
      <c r="B491" s="492" t="s">
        <v>612</v>
      </c>
      <c r="C491" s="493" t="s">
        <v>613</v>
      </c>
      <c r="D491" s="491"/>
      <c r="E491" s="493" t="s">
        <v>112</v>
      </c>
      <c r="F491" s="493" t="s">
        <v>268</v>
      </c>
      <c r="G491" s="494">
        <v>17.3</v>
      </c>
      <c r="H491" s="495">
        <v>0</v>
      </c>
      <c r="I491" s="498"/>
      <c r="J491" s="498"/>
      <c r="K491" s="498"/>
    </row>
    <row r="492" spans="1:11" x14ac:dyDescent="0.2">
      <c r="A492" s="493" t="s">
        <v>598</v>
      </c>
      <c r="B492" s="492" t="s">
        <v>612</v>
      </c>
      <c r="C492" s="493" t="s">
        <v>613</v>
      </c>
      <c r="D492" s="491"/>
      <c r="E492" s="493" t="s">
        <v>626</v>
      </c>
      <c r="F492" s="493" t="s">
        <v>268</v>
      </c>
      <c r="G492" s="494">
        <v>17.3</v>
      </c>
      <c r="H492" s="495">
        <v>0</v>
      </c>
      <c r="I492" s="498"/>
      <c r="J492" s="498"/>
      <c r="K492" s="498"/>
    </row>
    <row r="493" spans="1:11" x14ac:dyDescent="0.2">
      <c r="A493" s="493" t="s">
        <v>598</v>
      </c>
      <c r="B493" s="492" t="s">
        <v>612</v>
      </c>
      <c r="C493" s="493" t="s">
        <v>613</v>
      </c>
      <c r="D493" s="491"/>
      <c r="E493" s="493" t="s">
        <v>112</v>
      </c>
      <c r="F493" s="493" t="s">
        <v>268</v>
      </c>
      <c r="G493" s="494">
        <v>26</v>
      </c>
      <c r="H493" s="495">
        <v>0</v>
      </c>
      <c r="I493" s="498"/>
      <c r="J493" s="498"/>
      <c r="K493" s="498"/>
    </row>
    <row r="494" spans="1:11" x14ac:dyDescent="0.2">
      <c r="A494" s="493" t="s">
        <v>598</v>
      </c>
      <c r="B494" s="492" t="s">
        <v>612</v>
      </c>
      <c r="C494" s="493" t="s">
        <v>613</v>
      </c>
      <c r="D494" s="491"/>
      <c r="E494" s="493" t="s">
        <v>627</v>
      </c>
      <c r="F494" s="493" t="s">
        <v>268</v>
      </c>
      <c r="G494" s="494">
        <v>18.7</v>
      </c>
      <c r="H494" s="495">
        <v>0</v>
      </c>
      <c r="I494" s="498"/>
      <c r="J494" s="498"/>
      <c r="K494" s="498"/>
    </row>
    <row r="495" spans="1:11" x14ac:dyDescent="0.2">
      <c r="A495" s="493" t="s">
        <v>598</v>
      </c>
      <c r="B495" s="492" t="s">
        <v>612</v>
      </c>
      <c r="C495" s="493" t="s">
        <v>613</v>
      </c>
      <c r="D495" s="491"/>
      <c r="E495" s="493" t="s">
        <v>531</v>
      </c>
      <c r="F495" s="493" t="s">
        <v>268</v>
      </c>
      <c r="G495" s="494">
        <v>38.9</v>
      </c>
      <c r="H495" s="495">
        <v>0</v>
      </c>
      <c r="I495" s="498"/>
      <c r="J495" s="498"/>
      <c r="K495" s="498"/>
    </row>
    <row r="496" spans="1:11" x14ac:dyDescent="0.2">
      <c r="A496" s="493" t="s">
        <v>598</v>
      </c>
      <c r="B496" s="492" t="s">
        <v>612</v>
      </c>
      <c r="C496" s="493" t="s">
        <v>613</v>
      </c>
      <c r="D496" s="491"/>
      <c r="E496" s="493" t="s">
        <v>628</v>
      </c>
      <c r="F496" s="493" t="s">
        <v>268</v>
      </c>
      <c r="G496" s="494">
        <v>435</v>
      </c>
      <c r="H496" s="495">
        <v>0</v>
      </c>
      <c r="I496" s="498"/>
      <c r="J496" s="498"/>
      <c r="K496" s="498"/>
    </row>
    <row r="497" spans="1:11" x14ac:dyDescent="0.2">
      <c r="A497" s="493" t="s">
        <v>598</v>
      </c>
      <c r="B497" s="492" t="s">
        <v>612</v>
      </c>
      <c r="C497" s="493" t="s">
        <v>613</v>
      </c>
      <c r="D497" s="491"/>
      <c r="E497" s="493" t="s">
        <v>532</v>
      </c>
      <c r="F497" s="493" t="s">
        <v>268</v>
      </c>
      <c r="G497" s="494">
        <v>175</v>
      </c>
      <c r="H497" s="495">
        <v>0</v>
      </c>
      <c r="I497" s="498"/>
      <c r="J497" s="498"/>
      <c r="K497" s="498"/>
    </row>
    <row r="498" spans="1:11" x14ac:dyDescent="0.2">
      <c r="A498" s="493" t="s">
        <v>598</v>
      </c>
      <c r="B498" s="492" t="s">
        <v>612</v>
      </c>
      <c r="C498" s="493" t="s">
        <v>613</v>
      </c>
      <c r="D498" s="491"/>
      <c r="E498" s="493" t="s">
        <v>528</v>
      </c>
      <c r="F498" s="493" t="s">
        <v>268</v>
      </c>
      <c r="G498" s="494">
        <v>42.5</v>
      </c>
      <c r="H498" s="495">
        <v>0</v>
      </c>
      <c r="I498" s="498"/>
      <c r="J498" s="498"/>
      <c r="K498" s="498"/>
    </row>
    <row r="499" spans="1:11" x14ac:dyDescent="0.2">
      <c r="A499" s="493" t="s">
        <v>629</v>
      </c>
      <c r="B499" s="492" t="s">
        <v>301</v>
      </c>
      <c r="C499" s="518" t="s">
        <v>630</v>
      </c>
      <c r="D499" s="491" t="s">
        <v>312</v>
      </c>
      <c r="E499" s="493" t="s">
        <v>632</v>
      </c>
      <c r="F499" s="493" t="s">
        <v>633</v>
      </c>
      <c r="G499" s="494">
        <v>360</v>
      </c>
      <c r="H499" s="495" cm="1">
        <f t="array" aca="1" ref="H49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499" s="498">
        <f ca="1">IF(Inventarisatie[[#This Row],[Freq. Ma-Vr]]=0,0,IF(ISNUMBER(SEARCH("/",_xlfn.XLOOKUP(Inventarisatie[[#This Row],[Locatie]],Tabel2[Locatiecode],Tabel2[Basisfrequentie],0,0))),VLOOKUP("za",WkDagen[],YEAR(NOW())-2020,FALSE),""))</f>
        <v>52</v>
      </c>
      <c r="J499"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499" s="498">
        <f ca="1">IF(Inventarisatie[[#This Row],[Freq. Ma-Vr]]=0,0,IF(_xlfn.XLOOKUP(Inventarisatie[[#This Row],[Locatie]],Tabel2[Locatiecode],Tabel2[Basisfrequentie],0,0)=Locatieoverzicht!$F$47,VLOOKUP("fe",WkDagen[],YEAR(NOW())-2020,FALSE),""))</f>
        <v>9</v>
      </c>
    </row>
    <row r="500" spans="1:11" x14ac:dyDescent="0.2">
      <c r="A500" s="493" t="s">
        <v>629</v>
      </c>
      <c r="B500" s="492" t="s">
        <v>301</v>
      </c>
      <c r="C500" s="519" t="s">
        <v>606</v>
      </c>
      <c r="D500" s="491" t="s">
        <v>310</v>
      </c>
      <c r="E500" s="520" t="s">
        <v>634</v>
      </c>
      <c r="F500" s="493" t="s">
        <v>268</v>
      </c>
      <c r="G500" s="494">
        <v>8</v>
      </c>
      <c r="H500" s="495" cm="1">
        <f t="array" aca="1" ref="H50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00" s="498">
        <f ca="1">IF(Inventarisatie[[#This Row],[Freq. Ma-Vr]]=0,0,IF(ISNUMBER(SEARCH("/",_xlfn.XLOOKUP(Inventarisatie[[#This Row],[Locatie]],Tabel2[Locatiecode],Tabel2[Basisfrequentie],0,0))),VLOOKUP("za",WkDagen[],YEAR(NOW())-2020,FALSE),""))</f>
        <v>52</v>
      </c>
      <c r="J500"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00" s="498">
        <f ca="1">IF(Inventarisatie[[#This Row],[Freq. Ma-Vr]]=0,0,IF(_xlfn.XLOOKUP(Inventarisatie[[#This Row],[Locatie]],Tabel2[Locatiecode],Tabel2[Basisfrequentie],0,0)=Locatieoverzicht!$F$47,VLOOKUP("fe",WkDagen[],YEAR(NOW())-2020,FALSE),""))</f>
        <v>9</v>
      </c>
    </row>
    <row r="501" spans="1:11" x14ac:dyDescent="0.2">
      <c r="A501" s="493" t="s">
        <v>629</v>
      </c>
      <c r="B501" s="492" t="s">
        <v>301</v>
      </c>
      <c r="C501" s="519" t="s">
        <v>606</v>
      </c>
      <c r="D501" s="491" t="s">
        <v>310</v>
      </c>
      <c r="E501" s="520" t="s">
        <v>635</v>
      </c>
      <c r="F501" s="493" t="s">
        <v>268</v>
      </c>
      <c r="G501" s="494">
        <v>15</v>
      </c>
      <c r="H501" s="495" cm="1">
        <f t="array" aca="1" ref="H50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01" s="498">
        <f ca="1">IF(Inventarisatie[[#This Row],[Freq. Ma-Vr]]=0,0,IF(ISNUMBER(SEARCH("/",_xlfn.XLOOKUP(Inventarisatie[[#This Row],[Locatie]],Tabel2[Locatiecode],Tabel2[Basisfrequentie],0,0))),VLOOKUP("za",WkDagen[],YEAR(NOW())-2020,FALSE),""))</f>
        <v>52</v>
      </c>
      <c r="J501"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01" s="498">
        <f ca="1">IF(Inventarisatie[[#This Row],[Freq. Ma-Vr]]=0,0,IF(_xlfn.XLOOKUP(Inventarisatie[[#This Row],[Locatie]],Tabel2[Locatiecode],Tabel2[Basisfrequentie],0,0)=Locatieoverzicht!$F$47,VLOOKUP("fe",WkDagen[],YEAR(NOW())-2020,FALSE),""))</f>
        <v>9</v>
      </c>
    </row>
    <row r="502" spans="1:11" x14ac:dyDescent="0.2">
      <c r="A502" s="493" t="s">
        <v>629</v>
      </c>
      <c r="B502" s="492" t="s">
        <v>301</v>
      </c>
      <c r="C502" s="519" t="s">
        <v>606</v>
      </c>
      <c r="D502" s="491" t="s">
        <v>310</v>
      </c>
      <c r="E502" s="520" t="s">
        <v>636</v>
      </c>
      <c r="F502" s="493" t="s">
        <v>268</v>
      </c>
      <c r="G502" s="494">
        <v>8</v>
      </c>
      <c r="H502" s="495" cm="1">
        <f t="array" aca="1" ref="H50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02" s="498">
        <f ca="1">IF(Inventarisatie[[#This Row],[Freq. Ma-Vr]]=0,0,IF(ISNUMBER(SEARCH("/",_xlfn.XLOOKUP(Inventarisatie[[#This Row],[Locatie]],Tabel2[Locatiecode],Tabel2[Basisfrequentie],0,0))),VLOOKUP("za",WkDagen[],YEAR(NOW())-2020,FALSE),""))</f>
        <v>52</v>
      </c>
      <c r="J502"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02" s="498">
        <f ca="1">IF(Inventarisatie[[#This Row],[Freq. Ma-Vr]]=0,0,IF(_xlfn.XLOOKUP(Inventarisatie[[#This Row],[Locatie]],Tabel2[Locatiecode],Tabel2[Basisfrequentie],0,0)=Locatieoverzicht!$F$47,VLOOKUP("fe",WkDagen[],YEAR(NOW())-2020,FALSE),""))</f>
        <v>9</v>
      </c>
    </row>
    <row r="503" spans="1:11" x14ac:dyDescent="0.2">
      <c r="A503" s="493" t="s">
        <v>629</v>
      </c>
      <c r="B503" s="492" t="s">
        <v>301</v>
      </c>
      <c r="C503" s="519" t="s">
        <v>606</v>
      </c>
      <c r="D503" s="491" t="s">
        <v>307</v>
      </c>
      <c r="E503" s="520" t="s">
        <v>637</v>
      </c>
      <c r="F503" s="493" t="s">
        <v>268</v>
      </c>
      <c r="G503" s="494">
        <v>14</v>
      </c>
      <c r="H503" s="495" cm="1">
        <f t="array" aca="1" ref="H50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03" s="498">
        <f ca="1">IF(Inventarisatie[[#This Row],[Freq. Ma-Vr]]=0,0,IF(ISNUMBER(SEARCH("/",_xlfn.XLOOKUP(Inventarisatie[[#This Row],[Locatie]],Tabel2[Locatiecode],Tabel2[Basisfrequentie],0,0))),VLOOKUP("za",WkDagen[],YEAR(NOW())-2020,FALSE),""))</f>
        <v>52</v>
      </c>
      <c r="J503"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03" s="498">
        <f ca="1">IF(Inventarisatie[[#This Row],[Freq. Ma-Vr]]=0,0,IF(_xlfn.XLOOKUP(Inventarisatie[[#This Row],[Locatie]],Tabel2[Locatiecode],Tabel2[Basisfrequentie],0,0)=Locatieoverzicht!$F$47,VLOOKUP("fe",WkDagen[],YEAR(NOW())-2020,FALSE),""))</f>
        <v>9</v>
      </c>
    </row>
    <row r="504" spans="1:11" x14ac:dyDescent="0.2">
      <c r="A504" s="493" t="s">
        <v>629</v>
      </c>
      <c r="B504" s="492" t="s">
        <v>301</v>
      </c>
      <c r="C504" s="519" t="s">
        <v>606</v>
      </c>
      <c r="D504" s="491" t="s">
        <v>307</v>
      </c>
      <c r="E504" s="520" t="s">
        <v>637</v>
      </c>
      <c r="F504" s="493" t="s">
        <v>268</v>
      </c>
      <c r="G504" s="494">
        <v>14</v>
      </c>
      <c r="H504" s="495" cm="1">
        <f t="array" aca="1" ref="H50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04" s="498">
        <f ca="1">IF(Inventarisatie[[#This Row],[Freq. Ma-Vr]]=0,0,IF(ISNUMBER(SEARCH("/",_xlfn.XLOOKUP(Inventarisatie[[#This Row],[Locatie]],Tabel2[Locatiecode],Tabel2[Basisfrequentie],0,0))),VLOOKUP("za",WkDagen[],YEAR(NOW())-2020,FALSE),""))</f>
        <v>52</v>
      </c>
      <c r="J504"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04" s="498">
        <f ca="1">IF(Inventarisatie[[#This Row],[Freq. Ma-Vr]]=0,0,IF(_xlfn.XLOOKUP(Inventarisatie[[#This Row],[Locatie]],Tabel2[Locatiecode],Tabel2[Basisfrequentie],0,0)=Locatieoverzicht!$F$47,VLOOKUP("fe",WkDagen[],YEAR(NOW())-2020,FALSE),""))</f>
        <v>9</v>
      </c>
    </row>
    <row r="505" spans="1:11" x14ac:dyDescent="0.2">
      <c r="A505" s="493" t="s">
        <v>629</v>
      </c>
      <c r="B505" s="492" t="s">
        <v>301</v>
      </c>
      <c r="C505" s="519" t="s">
        <v>606</v>
      </c>
      <c r="D505" s="491" t="s">
        <v>312</v>
      </c>
      <c r="E505" s="520" t="s">
        <v>638</v>
      </c>
      <c r="F505" s="493" t="s">
        <v>268</v>
      </c>
      <c r="G505" s="494">
        <v>75</v>
      </c>
      <c r="H505" s="495" cm="1">
        <f t="array" aca="1" ref="H50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05" s="498">
        <f ca="1">IF(Inventarisatie[[#This Row],[Freq. Ma-Vr]]=0,0,IF(ISNUMBER(SEARCH("/",_xlfn.XLOOKUP(Inventarisatie[[#This Row],[Locatie]],Tabel2[Locatiecode],Tabel2[Basisfrequentie],0,0))),VLOOKUP("za",WkDagen[],YEAR(NOW())-2020,FALSE),""))</f>
        <v>52</v>
      </c>
      <c r="J505"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05" s="498">
        <f ca="1">IF(Inventarisatie[[#This Row],[Freq. Ma-Vr]]=0,0,IF(_xlfn.XLOOKUP(Inventarisatie[[#This Row],[Locatie]],Tabel2[Locatiecode],Tabel2[Basisfrequentie],0,0)=Locatieoverzicht!$F$47,VLOOKUP("fe",WkDagen[],YEAR(NOW())-2020,FALSE),""))</f>
        <v>9</v>
      </c>
    </row>
    <row r="506" spans="1:11" x14ac:dyDescent="0.2">
      <c r="A506" s="493" t="s">
        <v>629</v>
      </c>
      <c r="B506" s="492" t="s">
        <v>301</v>
      </c>
      <c r="C506" s="519" t="s">
        <v>606</v>
      </c>
      <c r="D506" s="491" t="s">
        <v>312</v>
      </c>
      <c r="E506" s="520" t="s">
        <v>639</v>
      </c>
      <c r="F506" s="493" t="s">
        <v>268</v>
      </c>
      <c r="G506" s="494">
        <v>175</v>
      </c>
      <c r="H506" s="495" cm="1">
        <f t="array" aca="1" ref="H50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06" s="498">
        <f ca="1">IF(Inventarisatie[[#This Row],[Freq. Ma-Vr]]=0,0,IF(ISNUMBER(SEARCH("/",_xlfn.XLOOKUP(Inventarisatie[[#This Row],[Locatie]],Tabel2[Locatiecode],Tabel2[Basisfrequentie],0,0))),VLOOKUP("za",WkDagen[],YEAR(NOW())-2020,FALSE),""))</f>
        <v>52</v>
      </c>
      <c r="J506"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06" s="498">
        <f ca="1">IF(Inventarisatie[[#This Row],[Freq. Ma-Vr]]=0,0,IF(_xlfn.XLOOKUP(Inventarisatie[[#This Row],[Locatie]],Tabel2[Locatiecode],Tabel2[Basisfrequentie],0,0)=Locatieoverzicht!$F$47,VLOOKUP("fe",WkDagen[],YEAR(NOW())-2020,FALSE),""))</f>
        <v>9</v>
      </c>
    </row>
    <row r="507" spans="1:11" x14ac:dyDescent="0.2">
      <c r="A507" s="493" t="s">
        <v>629</v>
      </c>
      <c r="B507" s="492" t="s">
        <v>301</v>
      </c>
      <c r="C507" s="519" t="s">
        <v>606</v>
      </c>
      <c r="D507" s="491" t="s">
        <v>307</v>
      </c>
      <c r="E507" s="520" t="s">
        <v>640</v>
      </c>
      <c r="F507" s="493" t="s">
        <v>268</v>
      </c>
      <c r="G507" s="494">
        <v>11</v>
      </c>
      <c r="H507" s="495" cm="1">
        <f t="array" aca="1" ref="H50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07" s="498">
        <f ca="1">IF(Inventarisatie[[#This Row],[Freq. Ma-Vr]]=0,0,IF(ISNUMBER(SEARCH("/",_xlfn.XLOOKUP(Inventarisatie[[#This Row],[Locatie]],Tabel2[Locatiecode],Tabel2[Basisfrequentie],0,0))),VLOOKUP("za",WkDagen[],YEAR(NOW())-2020,FALSE),""))</f>
        <v>52</v>
      </c>
      <c r="J507"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07" s="498">
        <f ca="1">IF(Inventarisatie[[#This Row],[Freq. Ma-Vr]]=0,0,IF(_xlfn.XLOOKUP(Inventarisatie[[#This Row],[Locatie]],Tabel2[Locatiecode],Tabel2[Basisfrequentie],0,0)=Locatieoverzicht!$F$47,VLOOKUP("fe",WkDagen[],YEAR(NOW())-2020,FALSE),""))</f>
        <v>9</v>
      </c>
    </row>
    <row r="508" spans="1:11" x14ac:dyDescent="0.2">
      <c r="A508" s="493" t="s">
        <v>629</v>
      </c>
      <c r="B508" s="492" t="s">
        <v>301</v>
      </c>
      <c r="C508" s="519" t="s">
        <v>606</v>
      </c>
      <c r="D508" s="491" t="s">
        <v>312</v>
      </c>
      <c r="E508" s="520" t="s">
        <v>641</v>
      </c>
      <c r="F508" s="493" t="s">
        <v>268</v>
      </c>
      <c r="G508" s="494">
        <v>11</v>
      </c>
      <c r="H508" s="495" cm="1">
        <f t="array" aca="1" ref="H50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08" s="498">
        <f ca="1">IF(Inventarisatie[[#This Row],[Freq. Ma-Vr]]=0,0,IF(ISNUMBER(SEARCH("/",_xlfn.XLOOKUP(Inventarisatie[[#This Row],[Locatie]],Tabel2[Locatiecode],Tabel2[Basisfrequentie],0,0))),VLOOKUP("za",WkDagen[],YEAR(NOW())-2020,FALSE),""))</f>
        <v>52</v>
      </c>
      <c r="J508"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08" s="498">
        <f ca="1">IF(Inventarisatie[[#This Row],[Freq. Ma-Vr]]=0,0,IF(_xlfn.XLOOKUP(Inventarisatie[[#This Row],[Locatie]],Tabel2[Locatiecode],Tabel2[Basisfrequentie],0,0)=Locatieoverzicht!$F$47,VLOOKUP("fe",WkDagen[],YEAR(NOW())-2020,FALSE),""))</f>
        <v>9</v>
      </c>
    </row>
    <row r="509" spans="1:11" x14ac:dyDescent="0.2">
      <c r="A509" s="493" t="s">
        <v>629</v>
      </c>
      <c r="B509" s="492" t="s">
        <v>301</v>
      </c>
      <c r="C509" s="519" t="s">
        <v>606</v>
      </c>
      <c r="D509" s="491" t="s">
        <v>307</v>
      </c>
      <c r="E509" s="520" t="s">
        <v>642</v>
      </c>
      <c r="F509" s="493" t="s">
        <v>268</v>
      </c>
      <c r="G509" s="494">
        <v>13</v>
      </c>
      <c r="H509" s="495" cm="1">
        <f t="array" aca="1" ref="H50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09" s="498">
        <f ca="1">IF(Inventarisatie[[#This Row],[Freq. Ma-Vr]]=0,0,IF(ISNUMBER(SEARCH("/",_xlfn.XLOOKUP(Inventarisatie[[#This Row],[Locatie]],Tabel2[Locatiecode],Tabel2[Basisfrequentie],0,0))),VLOOKUP("za",WkDagen[],YEAR(NOW())-2020,FALSE),""))</f>
        <v>52</v>
      </c>
      <c r="J509"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09" s="498">
        <f ca="1">IF(Inventarisatie[[#This Row],[Freq. Ma-Vr]]=0,0,IF(_xlfn.XLOOKUP(Inventarisatie[[#This Row],[Locatie]],Tabel2[Locatiecode],Tabel2[Basisfrequentie],0,0)=Locatieoverzicht!$F$47,VLOOKUP("fe",WkDagen[],YEAR(NOW())-2020,FALSE),""))</f>
        <v>9</v>
      </c>
    </row>
    <row r="510" spans="1:11" x14ac:dyDescent="0.2">
      <c r="A510" s="493" t="s">
        <v>629</v>
      </c>
      <c r="B510" s="492" t="s">
        <v>301</v>
      </c>
      <c r="C510" s="519" t="s">
        <v>606</v>
      </c>
      <c r="D510" s="491" t="s">
        <v>307</v>
      </c>
      <c r="E510" s="520" t="s">
        <v>643</v>
      </c>
      <c r="F510" s="493" t="s">
        <v>268</v>
      </c>
      <c r="G510" s="494">
        <v>13</v>
      </c>
      <c r="H510" s="495" cm="1">
        <f t="array" aca="1" ref="H51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10" s="498">
        <f ca="1">IF(Inventarisatie[[#This Row],[Freq. Ma-Vr]]=0,0,IF(ISNUMBER(SEARCH("/",_xlfn.XLOOKUP(Inventarisatie[[#This Row],[Locatie]],Tabel2[Locatiecode],Tabel2[Basisfrequentie],0,0))),VLOOKUP("za",WkDagen[],YEAR(NOW())-2020,FALSE),""))</f>
        <v>52</v>
      </c>
      <c r="J510"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10" s="498">
        <f ca="1">IF(Inventarisatie[[#This Row],[Freq. Ma-Vr]]=0,0,IF(_xlfn.XLOOKUP(Inventarisatie[[#This Row],[Locatie]],Tabel2[Locatiecode],Tabel2[Basisfrequentie],0,0)=Locatieoverzicht!$F$47,VLOOKUP("fe",WkDagen[],YEAR(NOW())-2020,FALSE),""))</f>
        <v>9</v>
      </c>
    </row>
    <row r="511" spans="1:11" x14ac:dyDescent="0.2">
      <c r="A511" s="493" t="s">
        <v>629</v>
      </c>
      <c r="B511" s="492" t="s">
        <v>301</v>
      </c>
      <c r="C511" s="519" t="s">
        <v>606</v>
      </c>
      <c r="D511" s="491" t="s">
        <v>307</v>
      </c>
      <c r="E511" s="520" t="s">
        <v>644</v>
      </c>
      <c r="F511" s="493" t="s">
        <v>268</v>
      </c>
      <c r="G511" s="494">
        <v>13</v>
      </c>
      <c r="H511" s="495" cm="1">
        <f t="array" aca="1" ref="H51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11" s="498">
        <f ca="1">IF(Inventarisatie[[#This Row],[Freq. Ma-Vr]]=0,0,IF(ISNUMBER(SEARCH("/",_xlfn.XLOOKUP(Inventarisatie[[#This Row],[Locatie]],Tabel2[Locatiecode],Tabel2[Basisfrequentie],0,0))),VLOOKUP("za",WkDagen[],YEAR(NOW())-2020,FALSE),""))</f>
        <v>52</v>
      </c>
      <c r="J511"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11" s="498">
        <f ca="1">IF(Inventarisatie[[#This Row],[Freq. Ma-Vr]]=0,0,IF(_xlfn.XLOOKUP(Inventarisatie[[#This Row],[Locatie]],Tabel2[Locatiecode],Tabel2[Basisfrequentie],0,0)=Locatieoverzicht!$F$47,VLOOKUP("fe",WkDagen[],YEAR(NOW())-2020,FALSE),""))</f>
        <v>9</v>
      </c>
    </row>
    <row r="512" spans="1:11" x14ac:dyDescent="0.2">
      <c r="A512" s="493" t="s">
        <v>629</v>
      </c>
      <c r="B512" s="492" t="s">
        <v>301</v>
      </c>
      <c r="C512" s="519" t="s">
        <v>606</v>
      </c>
      <c r="D512" s="491" t="s">
        <v>307</v>
      </c>
      <c r="E512" s="520" t="s">
        <v>645</v>
      </c>
      <c r="F512" s="493" t="s">
        <v>268</v>
      </c>
      <c r="G512" s="494">
        <v>13</v>
      </c>
      <c r="H512" s="495" cm="1">
        <f t="array" aca="1" ref="H51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12" s="498">
        <f ca="1">IF(Inventarisatie[[#This Row],[Freq. Ma-Vr]]=0,0,IF(ISNUMBER(SEARCH("/",_xlfn.XLOOKUP(Inventarisatie[[#This Row],[Locatie]],Tabel2[Locatiecode],Tabel2[Basisfrequentie],0,0))),VLOOKUP("za",WkDagen[],YEAR(NOW())-2020,FALSE),""))</f>
        <v>52</v>
      </c>
      <c r="J512"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12" s="498">
        <f ca="1">IF(Inventarisatie[[#This Row],[Freq. Ma-Vr]]=0,0,IF(_xlfn.XLOOKUP(Inventarisatie[[#This Row],[Locatie]],Tabel2[Locatiecode],Tabel2[Basisfrequentie],0,0)=Locatieoverzicht!$F$47,VLOOKUP("fe",WkDagen[],YEAR(NOW())-2020,FALSE),""))</f>
        <v>9</v>
      </c>
    </row>
    <row r="513" spans="1:11" x14ac:dyDescent="0.2">
      <c r="A513" s="493" t="s">
        <v>629</v>
      </c>
      <c r="B513" s="492" t="s">
        <v>301</v>
      </c>
      <c r="C513" s="519" t="s">
        <v>606</v>
      </c>
      <c r="D513" s="491" t="s">
        <v>312</v>
      </c>
      <c r="E513" s="520" t="s">
        <v>646</v>
      </c>
      <c r="F513" s="493" t="s">
        <v>268</v>
      </c>
      <c r="G513" s="494">
        <v>275</v>
      </c>
      <c r="H513" s="495" cm="1">
        <f t="array" aca="1" ref="H51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13" s="498">
        <f ca="1">IF(Inventarisatie[[#This Row],[Freq. Ma-Vr]]=0,0,IF(ISNUMBER(SEARCH("/",_xlfn.XLOOKUP(Inventarisatie[[#This Row],[Locatie]],Tabel2[Locatiecode],Tabel2[Basisfrequentie],0,0))),VLOOKUP("za",WkDagen[],YEAR(NOW())-2020,FALSE),""))</f>
        <v>52</v>
      </c>
      <c r="J513"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13" s="498">
        <f ca="1">IF(Inventarisatie[[#This Row],[Freq. Ma-Vr]]=0,0,IF(_xlfn.XLOOKUP(Inventarisatie[[#This Row],[Locatie]],Tabel2[Locatiecode],Tabel2[Basisfrequentie],0,0)=Locatieoverzicht!$F$47,VLOOKUP("fe",WkDagen[],YEAR(NOW())-2020,FALSE),""))</f>
        <v>9</v>
      </c>
    </row>
    <row r="514" spans="1:11" x14ac:dyDescent="0.2">
      <c r="A514" s="493" t="s">
        <v>629</v>
      </c>
      <c r="B514" s="492" t="s">
        <v>301</v>
      </c>
      <c r="C514" s="519" t="s">
        <v>606</v>
      </c>
      <c r="D514" s="491" t="s">
        <v>312</v>
      </c>
      <c r="E514" s="520" t="s">
        <v>647</v>
      </c>
      <c r="F514" s="493" t="s">
        <v>268</v>
      </c>
      <c r="G514" s="494">
        <v>280</v>
      </c>
      <c r="H514" s="495" cm="1">
        <f t="array" aca="1" ref="H51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14" s="498">
        <f ca="1">IF(Inventarisatie[[#This Row],[Freq. Ma-Vr]]=0,0,IF(ISNUMBER(SEARCH("/",_xlfn.XLOOKUP(Inventarisatie[[#This Row],[Locatie]],Tabel2[Locatiecode],Tabel2[Basisfrequentie],0,0))),VLOOKUP("za",WkDagen[],YEAR(NOW())-2020,FALSE),""))</f>
        <v>52</v>
      </c>
      <c r="J514"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14" s="498">
        <f ca="1">IF(Inventarisatie[[#This Row],[Freq. Ma-Vr]]=0,0,IF(_xlfn.XLOOKUP(Inventarisatie[[#This Row],[Locatie]],Tabel2[Locatiecode],Tabel2[Basisfrequentie],0,0)=Locatieoverzicht!$F$47,VLOOKUP("fe",WkDagen[],YEAR(NOW())-2020,FALSE),""))</f>
        <v>9</v>
      </c>
    </row>
    <row r="515" spans="1:11" x14ac:dyDescent="0.2">
      <c r="A515" s="493" t="s">
        <v>629</v>
      </c>
      <c r="B515" s="492" t="s">
        <v>301</v>
      </c>
      <c r="C515" s="519" t="s">
        <v>606</v>
      </c>
      <c r="D515" s="491" t="s">
        <v>312</v>
      </c>
      <c r="E515" s="520" t="s">
        <v>648</v>
      </c>
      <c r="F515" s="493" t="s">
        <v>268</v>
      </c>
      <c r="G515" s="494">
        <v>250</v>
      </c>
      <c r="H515" s="495" cm="1">
        <f t="array" aca="1" ref="H51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15" s="498">
        <f ca="1">IF(Inventarisatie[[#This Row],[Freq. Ma-Vr]]=0,0,IF(ISNUMBER(SEARCH("/",_xlfn.XLOOKUP(Inventarisatie[[#This Row],[Locatie]],Tabel2[Locatiecode],Tabel2[Basisfrequentie],0,0))),VLOOKUP("za",WkDagen[],YEAR(NOW())-2020,FALSE),""))</f>
        <v>52</v>
      </c>
      <c r="J515"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15" s="498">
        <f ca="1">IF(Inventarisatie[[#This Row],[Freq. Ma-Vr]]=0,0,IF(_xlfn.XLOOKUP(Inventarisatie[[#This Row],[Locatie]],Tabel2[Locatiecode],Tabel2[Basisfrequentie],0,0)=Locatieoverzicht!$F$47,VLOOKUP("fe",WkDagen[],YEAR(NOW())-2020,FALSE),""))</f>
        <v>9</v>
      </c>
    </row>
    <row r="516" spans="1:11" x14ac:dyDescent="0.2">
      <c r="A516" s="493" t="s">
        <v>629</v>
      </c>
      <c r="B516" s="492" t="s">
        <v>301</v>
      </c>
      <c r="C516" s="518" t="s">
        <v>600</v>
      </c>
      <c r="D516" s="491" t="s">
        <v>312</v>
      </c>
      <c r="E516" s="493" t="s">
        <v>600</v>
      </c>
      <c r="F516" s="493" t="s">
        <v>633</v>
      </c>
      <c r="G516" s="494">
        <v>700</v>
      </c>
      <c r="H516" s="495" cm="1">
        <f t="array" aca="1" ref="H51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16" s="498">
        <f ca="1">IF(Inventarisatie[[#This Row],[Freq. Ma-Vr]]=0,0,IF(ISNUMBER(SEARCH("/",_xlfn.XLOOKUP(Inventarisatie[[#This Row],[Locatie]],Tabel2[Locatiecode],Tabel2[Basisfrequentie],0,0))),VLOOKUP("za",WkDagen[],YEAR(NOW())-2020,FALSE),""))</f>
        <v>52</v>
      </c>
      <c r="J516"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16" s="498">
        <f ca="1">IF(Inventarisatie[[#This Row],[Freq. Ma-Vr]]=0,0,IF(_xlfn.XLOOKUP(Inventarisatie[[#This Row],[Locatie]],Tabel2[Locatiecode],Tabel2[Basisfrequentie],0,0)=Locatieoverzicht!$F$47,VLOOKUP("fe",WkDagen[],YEAR(NOW())-2020,FALSE),""))</f>
        <v>9</v>
      </c>
    </row>
    <row r="517" spans="1:11" x14ac:dyDescent="0.2">
      <c r="A517" s="493" t="s">
        <v>629</v>
      </c>
      <c r="B517" s="492" t="s">
        <v>301</v>
      </c>
      <c r="C517" s="518" t="s">
        <v>600</v>
      </c>
      <c r="D517" s="491" t="s">
        <v>311</v>
      </c>
      <c r="E517" s="493" t="s">
        <v>649</v>
      </c>
      <c r="F517" s="493" t="s">
        <v>268</v>
      </c>
      <c r="G517" s="494">
        <v>8</v>
      </c>
      <c r="H517" s="495" cm="1">
        <f t="array" aca="1" ref="H51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17" s="498">
        <f ca="1">IF(Inventarisatie[[#This Row],[Freq. Ma-Vr]]=0,0,IF(ISNUMBER(SEARCH("/",_xlfn.XLOOKUP(Inventarisatie[[#This Row],[Locatie]],Tabel2[Locatiecode],Tabel2[Basisfrequentie],0,0))),VLOOKUP("za",WkDagen[],YEAR(NOW())-2020,FALSE),""))</f>
        <v>52</v>
      </c>
      <c r="J517"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17" s="498">
        <f ca="1">IF(Inventarisatie[[#This Row],[Freq. Ma-Vr]]=0,0,IF(_xlfn.XLOOKUP(Inventarisatie[[#This Row],[Locatie]],Tabel2[Locatiecode],Tabel2[Basisfrequentie],0,0)=Locatieoverzicht!$F$47,VLOOKUP("fe",WkDagen[],YEAR(NOW())-2020,FALSE),""))</f>
        <v>9</v>
      </c>
    </row>
    <row r="518" spans="1:11" x14ac:dyDescent="0.2">
      <c r="A518" s="493" t="s">
        <v>629</v>
      </c>
      <c r="B518" s="492" t="s">
        <v>301</v>
      </c>
      <c r="C518" s="518" t="s">
        <v>600</v>
      </c>
      <c r="D518" s="491" t="s">
        <v>311</v>
      </c>
      <c r="E518" s="493" t="s">
        <v>650</v>
      </c>
      <c r="F518" s="493" t="s">
        <v>268</v>
      </c>
      <c r="G518" s="494">
        <v>20</v>
      </c>
      <c r="H518" s="495" cm="1">
        <f t="array" aca="1" ref="H51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18" s="498">
        <f ca="1">IF(Inventarisatie[[#This Row],[Freq. Ma-Vr]]=0,0,IF(ISNUMBER(SEARCH("/",_xlfn.XLOOKUP(Inventarisatie[[#This Row],[Locatie]],Tabel2[Locatiecode],Tabel2[Basisfrequentie],0,0))),VLOOKUP("za",WkDagen[],YEAR(NOW())-2020,FALSE),""))</f>
        <v>52</v>
      </c>
      <c r="J518"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18" s="498">
        <f ca="1">IF(Inventarisatie[[#This Row],[Freq. Ma-Vr]]=0,0,IF(_xlfn.XLOOKUP(Inventarisatie[[#This Row],[Locatie]],Tabel2[Locatiecode],Tabel2[Basisfrequentie],0,0)=Locatieoverzicht!$F$47,VLOOKUP("fe",WkDagen[],YEAR(NOW())-2020,FALSE),""))</f>
        <v>9</v>
      </c>
    </row>
    <row r="519" spans="1:11" x14ac:dyDescent="0.2">
      <c r="A519" s="493" t="s">
        <v>629</v>
      </c>
      <c r="B519" s="492" t="s">
        <v>301</v>
      </c>
      <c r="C519" s="518" t="s">
        <v>631</v>
      </c>
      <c r="D519" s="491" t="s">
        <v>311</v>
      </c>
      <c r="E519" s="493" t="s">
        <v>651</v>
      </c>
      <c r="F519" s="493" t="s">
        <v>17</v>
      </c>
      <c r="G519" s="494">
        <v>6</v>
      </c>
      <c r="H519" s="495" cm="1">
        <f t="array" aca="1" ref="H51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19" s="498">
        <f ca="1">IF(Inventarisatie[[#This Row],[Freq. Ma-Vr]]=0,0,IF(ISNUMBER(SEARCH("/",_xlfn.XLOOKUP(Inventarisatie[[#This Row],[Locatie]],Tabel2[Locatiecode],Tabel2[Basisfrequentie],0,0))),VLOOKUP("za",WkDagen[],YEAR(NOW())-2020,FALSE),""))</f>
        <v>52</v>
      </c>
      <c r="J519"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19" s="498">
        <f ca="1">IF(Inventarisatie[[#This Row],[Freq. Ma-Vr]]=0,0,IF(_xlfn.XLOOKUP(Inventarisatie[[#This Row],[Locatie]],Tabel2[Locatiecode],Tabel2[Basisfrequentie],0,0)=Locatieoverzicht!$F$47,VLOOKUP("fe",WkDagen[],YEAR(NOW())-2020,FALSE),""))</f>
        <v>9</v>
      </c>
    </row>
    <row r="520" spans="1:11" x14ac:dyDescent="0.2">
      <c r="A520" s="493" t="s">
        <v>629</v>
      </c>
      <c r="B520" s="492" t="s">
        <v>301</v>
      </c>
      <c r="C520" s="518" t="s">
        <v>631</v>
      </c>
      <c r="D520" s="491" t="s">
        <v>311</v>
      </c>
      <c r="E520" s="493" t="s">
        <v>651</v>
      </c>
      <c r="F520" s="493" t="s">
        <v>17</v>
      </c>
      <c r="G520" s="494">
        <v>6</v>
      </c>
      <c r="H520" s="495" cm="1">
        <f t="array" aca="1" ref="H52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20" s="498">
        <f ca="1">IF(Inventarisatie[[#This Row],[Freq. Ma-Vr]]=0,0,IF(ISNUMBER(SEARCH("/",_xlfn.XLOOKUP(Inventarisatie[[#This Row],[Locatie]],Tabel2[Locatiecode],Tabel2[Basisfrequentie],0,0))),VLOOKUP("za",WkDagen[],YEAR(NOW())-2020,FALSE),""))</f>
        <v>52</v>
      </c>
      <c r="J520"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20" s="498">
        <f ca="1">IF(Inventarisatie[[#This Row],[Freq. Ma-Vr]]=0,0,IF(_xlfn.XLOOKUP(Inventarisatie[[#This Row],[Locatie]],Tabel2[Locatiecode],Tabel2[Basisfrequentie],0,0)=Locatieoverzicht!$F$47,VLOOKUP("fe",WkDagen[],YEAR(NOW())-2020,FALSE),""))</f>
        <v>9</v>
      </c>
    </row>
    <row r="521" spans="1:11" x14ac:dyDescent="0.2">
      <c r="A521" s="493" t="s">
        <v>658</v>
      </c>
      <c r="B521" s="492" t="s">
        <v>301</v>
      </c>
      <c r="C521" s="493"/>
      <c r="D521" s="491" t="s">
        <v>312</v>
      </c>
      <c r="E521" s="493" t="s">
        <v>37</v>
      </c>
      <c r="F521" s="493" t="s">
        <v>268</v>
      </c>
      <c r="G521" s="494">
        <v>23.4</v>
      </c>
      <c r="H521" s="495" cm="1">
        <f t="array" aca="1" ref="H52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21" s="517">
        <f ca="1">IF(Inventarisatie[[#This Row],[Freq. Ma-Vr]]=0,0,IF(ISNUMBER(SEARCH("/",_xlfn.XLOOKUP(Inventarisatie[[#This Row],[Locatie]],Tabel2[Locatiecode],Tabel2[Basisfrequentie],0,0))),VLOOKUP("za",WkDagen[],YEAR(NOW())-2020,FALSE),""))</f>
        <v>52</v>
      </c>
      <c r="J521" s="517">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21" s="517">
        <f ca="1">IF(Inventarisatie[[#This Row],[Freq. Ma-Vr]]=0,0,IF(_xlfn.XLOOKUP(Inventarisatie[[#This Row],[Locatie]],Tabel2[Locatiecode],Tabel2[Basisfrequentie],0,0)=Locatieoverzicht!$F$47,VLOOKUP("fe",WkDagen[],YEAR(NOW())-2020,FALSE),""))</f>
        <v>9</v>
      </c>
    </row>
    <row r="522" spans="1:11" x14ac:dyDescent="0.2">
      <c r="A522" s="493" t="s">
        <v>658</v>
      </c>
      <c r="B522" s="492" t="s">
        <v>301</v>
      </c>
      <c r="C522" s="493"/>
      <c r="D522" s="491" t="s">
        <v>312</v>
      </c>
      <c r="E522" s="493" t="s">
        <v>94</v>
      </c>
      <c r="F522" s="493" t="s">
        <v>268</v>
      </c>
      <c r="G522" s="494">
        <v>26.6</v>
      </c>
      <c r="H522" s="495" cm="1">
        <f t="array" aca="1" ref="H52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22" s="498">
        <f ca="1">IF(Inventarisatie[[#This Row],[Freq. Ma-Vr]]=0,0,IF(ISNUMBER(SEARCH("/",_xlfn.XLOOKUP(Inventarisatie[[#This Row],[Locatie]],Tabel2[Locatiecode],Tabel2[Basisfrequentie],0,0))),VLOOKUP("za",WkDagen[],YEAR(NOW())-2020,FALSE),""))</f>
        <v>52</v>
      </c>
      <c r="J522"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22" s="498">
        <f ca="1">IF(Inventarisatie[[#This Row],[Freq. Ma-Vr]]=0,0,IF(_xlfn.XLOOKUP(Inventarisatie[[#This Row],[Locatie]],Tabel2[Locatiecode],Tabel2[Basisfrequentie],0,0)=Locatieoverzicht!$F$47,VLOOKUP("fe",WkDagen[],YEAR(NOW())-2020,FALSE),""))</f>
        <v>9</v>
      </c>
    </row>
    <row r="523" spans="1:11" x14ac:dyDescent="0.2">
      <c r="A523" s="493" t="s">
        <v>658</v>
      </c>
      <c r="B523" s="492" t="s">
        <v>301</v>
      </c>
      <c r="C523" s="493"/>
      <c r="D523" s="491" t="s">
        <v>307</v>
      </c>
      <c r="E523" s="493" t="s">
        <v>26</v>
      </c>
      <c r="F523" s="493" t="s">
        <v>268</v>
      </c>
      <c r="G523" s="494">
        <v>40.5</v>
      </c>
      <c r="H523" s="495" cm="1">
        <f t="array" aca="1" ref="H52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23" s="498">
        <f ca="1">IF(Inventarisatie[[#This Row],[Freq. Ma-Vr]]=0,0,IF(ISNUMBER(SEARCH("/",_xlfn.XLOOKUP(Inventarisatie[[#This Row],[Locatie]],Tabel2[Locatiecode],Tabel2[Basisfrequentie],0,0))),VLOOKUP("za",WkDagen[],YEAR(NOW())-2020,FALSE),""))</f>
        <v>52</v>
      </c>
      <c r="J523"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23" s="498">
        <f ca="1">IF(Inventarisatie[[#This Row],[Freq. Ma-Vr]]=0,0,IF(_xlfn.XLOOKUP(Inventarisatie[[#This Row],[Locatie]],Tabel2[Locatiecode],Tabel2[Basisfrequentie],0,0)=Locatieoverzicht!$F$47,VLOOKUP("fe",WkDagen[],YEAR(NOW())-2020,FALSE),""))</f>
        <v>9</v>
      </c>
    </row>
    <row r="524" spans="1:11" x14ac:dyDescent="0.2">
      <c r="A524" s="493" t="s">
        <v>658</v>
      </c>
      <c r="B524" s="492" t="s">
        <v>301</v>
      </c>
      <c r="C524" s="493"/>
      <c r="D524" s="491" t="s">
        <v>308</v>
      </c>
      <c r="E524" s="493" t="s">
        <v>47</v>
      </c>
      <c r="F524" s="493" t="s">
        <v>268</v>
      </c>
      <c r="G524" s="494">
        <v>100.8</v>
      </c>
      <c r="H524" s="495" cm="1">
        <f t="array" aca="1" ref="H52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24" s="498">
        <f ca="1">IF(Inventarisatie[[#This Row],[Freq. Ma-Vr]]=0,0,IF(ISNUMBER(SEARCH("/",_xlfn.XLOOKUP(Inventarisatie[[#This Row],[Locatie]],Tabel2[Locatiecode],Tabel2[Basisfrequentie],0,0))),VLOOKUP("za",WkDagen[],YEAR(NOW())-2020,FALSE),""))</f>
        <v>52</v>
      </c>
      <c r="J524"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24" s="498">
        <f ca="1">IF(Inventarisatie[[#This Row],[Freq. Ma-Vr]]=0,0,IF(_xlfn.XLOOKUP(Inventarisatie[[#This Row],[Locatie]],Tabel2[Locatiecode],Tabel2[Basisfrequentie],0,0)=Locatieoverzicht!$F$47,VLOOKUP("fe",WkDagen[],YEAR(NOW())-2020,FALSE),""))</f>
        <v>9</v>
      </c>
    </row>
    <row r="525" spans="1:11" x14ac:dyDescent="0.2">
      <c r="A525" s="493" t="s">
        <v>658</v>
      </c>
      <c r="B525" s="492" t="s">
        <v>301</v>
      </c>
      <c r="C525" s="493"/>
      <c r="D525" s="491" t="s">
        <v>312</v>
      </c>
      <c r="E525" s="493" t="s">
        <v>41</v>
      </c>
      <c r="F525" s="493" t="s">
        <v>268</v>
      </c>
      <c r="G525" s="494">
        <v>22.3</v>
      </c>
      <c r="H525" s="495" cm="1">
        <f t="array" aca="1" ref="H52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25" s="498">
        <f ca="1">IF(Inventarisatie[[#This Row],[Freq. Ma-Vr]]=0,0,IF(ISNUMBER(SEARCH("/",_xlfn.XLOOKUP(Inventarisatie[[#This Row],[Locatie]],Tabel2[Locatiecode],Tabel2[Basisfrequentie],0,0))),VLOOKUP("za",WkDagen[],YEAR(NOW())-2020,FALSE),""))</f>
        <v>52</v>
      </c>
      <c r="J525"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25" s="498">
        <f ca="1">IF(Inventarisatie[[#This Row],[Freq. Ma-Vr]]=0,0,IF(_xlfn.XLOOKUP(Inventarisatie[[#This Row],[Locatie]],Tabel2[Locatiecode],Tabel2[Basisfrequentie],0,0)=Locatieoverzicht!$F$47,VLOOKUP("fe",WkDagen[],YEAR(NOW())-2020,FALSE),""))</f>
        <v>9</v>
      </c>
    </row>
    <row r="526" spans="1:11" x14ac:dyDescent="0.2">
      <c r="A526" s="493" t="s">
        <v>658</v>
      </c>
      <c r="B526" s="492" t="s">
        <v>301</v>
      </c>
      <c r="C526" s="493"/>
      <c r="D526" s="491" t="s">
        <v>307</v>
      </c>
      <c r="E526" s="493" t="s">
        <v>26</v>
      </c>
      <c r="F526" s="493" t="s">
        <v>268</v>
      </c>
      <c r="G526" s="494">
        <v>19.2</v>
      </c>
      <c r="H526" s="495" cm="1">
        <f t="array" aca="1" ref="H52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26" s="498">
        <f ca="1">IF(Inventarisatie[[#This Row],[Freq. Ma-Vr]]=0,0,IF(ISNUMBER(SEARCH("/",_xlfn.XLOOKUP(Inventarisatie[[#This Row],[Locatie]],Tabel2[Locatiecode],Tabel2[Basisfrequentie],0,0))),VLOOKUP("za",WkDagen[],YEAR(NOW())-2020,FALSE),""))</f>
        <v>52</v>
      </c>
      <c r="J526"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26" s="498">
        <f ca="1">IF(Inventarisatie[[#This Row],[Freq. Ma-Vr]]=0,0,IF(_xlfn.XLOOKUP(Inventarisatie[[#This Row],[Locatie]],Tabel2[Locatiecode],Tabel2[Basisfrequentie],0,0)=Locatieoverzicht!$F$47,VLOOKUP("fe",WkDagen[],YEAR(NOW())-2020,FALSE),""))</f>
        <v>9</v>
      </c>
    </row>
    <row r="527" spans="1:11" x14ac:dyDescent="0.2">
      <c r="A527" s="493" t="s">
        <v>658</v>
      </c>
      <c r="B527" s="492" t="s">
        <v>301</v>
      </c>
      <c r="C527" s="493"/>
      <c r="D527" s="491" t="s">
        <v>307</v>
      </c>
      <c r="E527" s="493" t="s">
        <v>26</v>
      </c>
      <c r="F527" s="493" t="s">
        <v>268</v>
      </c>
      <c r="G527" s="494">
        <v>19.2</v>
      </c>
      <c r="H527" s="495" cm="1">
        <f t="array" aca="1" ref="H52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27" s="498">
        <f ca="1">IF(Inventarisatie[[#This Row],[Freq. Ma-Vr]]=0,0,IF(ISNUMBER(SEARCH("/",_xlfn.XLOOKUP(Inventarisatie[[#This Row],[Locatie]],Tabel2[Locatiecode],Tabel2[Basisfrequentie],0,0))),VLOOKUP("za",WkDagen[],YEAR(NOW())-2020,FALSE),""))</f>
        <v>52</v>
      </c>
      <c r="J527"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27" s="498">
        <f ca="1">IF(Inventarisatie[[#This Row],[Freq. Ma-Vr]]=0,0,IF(_xlfn.XLOOKUP(Inventarisatie[[#This Row],[Locatie]],Tabel2[Locatiecode],Tabel2[Basisfrequentie],0,0)=Locatieoverzicht!$F$47,VLOOKUP("fe",WkDagen[],YEAR(NOW())-2020,FALSE),""))</f>
        <v>9</v>
      </c>
    </row>
    <row r="528" spans="1:11" x14ac:dyDescent="0.2">
      <c r="A528" s="493" t="s">
        <v>658</v>
      </c>
      <c r="B528" s="492" t="s">
        <v>301</v>
      </c>
      <c r="C528" s="493"/>
      <c r="D528" s="491" t="s">
        <v>312</v>
      </c>
      <c r="E528" s="493" t="s">
        <v>41</v>
      </c>
      <c r="F528" s="493" t="s">
        <v>268</v>
      </c>
      <c r="G528" s="494">
        <v>45.6</v>
      </c>
      <c r="H528" s="495" cm="1">
        <f t="array" aca="1" ref="H52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28" s="498">
        <f ca="1">IF(Inventarisatie[[#This Row],[Freq. Ma-Vr]]=0,0,IF(ISNUMBER(SEARCH("/",_xlfn.XLOOKUP(Inventarisatie[[#This Row],[Locatie]],Tabel2[Locatiecode],Tabel2[Basisfrequentie],0,0))),VLOOKUP("za",WkDagen[],YEAR(NOW())-2020,FALSE),""))</f>
        <v>52</v>
      </c>
      <c r="J528"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28" s="498">
        <f ca="1">IF(Inventarisatie[[#This Row],[Freq. Ma-Vr]]=0,0,IF(_xlfn.XLOOKUP(Inventarisatie[[#This Row],[Locatie]],Tabel2[Locatiecode],Tabel2[Basisfrequentie],0,0)=Locatieoverzicht!$F$47,VLOOKUP("fe",WkDagen[],YEAR(NOW())-2020,FALSE),""))</f>
        <v>9</v>
      </c>
    </row>
    <row r="529" spans="1:11" x14ac:dyDescent="0.2">
      <c r="A529" s="493" t="s">
        <v>658</v>
      </c>
      <c r="B529" s="492" t="s">
        <v>301</v>
      </c>
      <c r="C529" s="493"/>
      <c r="D529" s="491" t="s">
        <v>307</v>
      </c>
      <c r="E529" s="493" t="s">
        <v>26</v>
      </c>
      <c r="F529" s="493" t="s">
        <v>268</v>
      </c>
      <c r="G529" s="494">
        <v>29.2</v>
      </c>
      <c r="H529" s="495" cm="1">
        <f t="array" aca="1" ref="H52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29" s="498">
        <f ca="1">IF(Inventarisatie[[#This Row],[Freq. Ma-Vr]]=0,0,IF(ISNUMBER(SEARCH("/",_xlfn.XLOOKUP(Inventarisatie[[#This Row],[Locatie]],Tabel2[Locatiecode],Tabel2[Basisfrequentie],0,0))),VLOOKUP("za",WkDagen[],YEAR(NOW())-2020,FALSE),""))</f>
        <v>52</v>
      </c>
      <c r="J529"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29" s="498">
        <f ca="1">IF(Inventarisatie[[#This Row],[Freq. Ma-Vr]]=0,0,IF(_xlfn.XLOOKUP(Inventarisatie[[#This Row],[Locatie]],Tabel2[Locatiecode],Tabel2[Basisfrequentie],0,0)=Locatieoverzicht!$F$47,VLOOKUP("fe",WkDagen[],YEAR(NOW())-2020,FALSE),""))</f>
        <v>9</v>
      </c>
    </row>
    <row r="530" spans="1:11" x14ac:dyDescent="0.2">
      <c r="A530" s="493" t="s">
        <v>658</v>
      </c>
      <c r="B530" s="492" t="s">
        <v>301</v>
      </c>
      <c r="C530" s="493"/>
      <c r="D530" s="491" t="s">
        <v>307</v>
      </c>
      <c r="E530" s="493" t="s">
        <v>26</v>
      </c>
      <c r="F530" s="493" t="s">
        <v>268</v>
      </c>
      <c r="G530" s="494">
        <v>20.399999999999999</v>
      </c>
      <c r="H530" s="495" cm="1">
        <f t="array" aca="1" ref="H53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30" s="498">
        <f ca="1">IF(Inventarisatie[[#This Row],[Freq. Ma-Vr]]=0,0,IF(ISNUMBER(SEARCH("/",_xlfn.XLOOKUP(Inventarisatie[[#This Row],[Locatie]],Tabel2[Locatiecode],Tabel2[Basisfrequentie],0,0))),VLOOKUP("za",WkDagen[],YEAR(NOW())-2020,FALSE),""))</f>
        <v>52</v>
      </c>
      <c r="J530"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30" s="498">
        <f ca="1">IF(Inventarisatie[[#This Row],[Freq. Ma-Vr]]=0,0,IF(_xlfn.XLOOKUP(Inventarisatie[[#This Row],[Locatie]],Tabel2[Locatiecode],Tabel2[Basisfrequentie],0,0)=Locatieoverzicht!$F$47,VLOOKUP("fe",WkDagen[],YEAR(NOW())-2020,FALSE),""))</f>
        <v>9</v>
      </c>
    </row>
    <row r="531" spans="1:11" x14ac:dyDescent="0.2">
      <c r="A531" s="493" t="s">
        <v>658</v>
      </c>
      <c r="B531" s="492" t="s">
        <v>301</v>
      </c>
      <c r="C531" s="493"/>
      <c r="D531" s="491" t="s">
        <v>307</v>
      </c>
      <c r="E531" s="493" t="s">
        <v>26</v>
      </c>
      <c r="F531" s="493" t="s">
        <v>268</v>
      </c>
      <c r="G531" s="494">
        <v>19.5</v>
      </c>
      <c r="H531" s="495" cm="1">
        <f t="array" aca="1" ref="H53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31" s="498">
        <f ca="1">IF(Inventarisatie[[#This Row],[Freq. Ma-Vr]]=0,0,IF(ISNUMBER(SEARCH("/",_xlfn.XLOOKUP(Inventarisatie[[#This Row],[Locatie]],Tabel2[Locatiecode],Tabel2[Basisfrequentie],0,0))),VLOOKUP("za",WkDagen[],YEAR(NOW())-2020,FALSE),""))</f>
        <v>52</v>
      </c>
      <c r="J531"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31" s="498">
        <f ca="1">IF(Inventarisatie[[#This Row],[Freq. Ma-Vr]]=0,0,IF(_xlfn.XLOOKUP(Inventarisatie[[#This Row],[Locatie]],Tabel2[Locatiecode],Tabel2[Basisfrequentie],0,0)=Locatieoverzicht!$F$47,VLOOKUP("fe",WkDagen[],YEAR(NOW())-2020,FALSE),""))</f>
        <v>9</v>
      </c>
    </row>
    <row r="532" spans="1:11" x14ac:dyDescent="0.2">
      <c r="A532" s="493" t="s">
        <v>658</v>
      </c>
      <c r="B532" s="492" t="s">
        <v>301</v>
      </c>
      <c r="C532" s="493"/>
      <c r="D532" s="491" t="s">
        <v>307</v>
      </c>
      <c r="E532" s="493" t="s">
        <v>26</v>
      </c>
      <c r="F532" s="493" t="s">
        <v>268</v>
      </c>
      <c r="G532" s="494">
        <v>19.5</v>
      </c>
      <c r="H532" s="495" cm="1">
        <f t="array" aca="1" ref="H53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32" s="498">
        <f ca="1">IF(Inventarisatie[[#This Row],[Freq. Ma-Vr]]=0,0,IF(ISNUMBER(SEARCH("/",_xlfn.XLOOKUP(Inventarisatie[[#This Row],[Locatie]],Tabel2[Locatiecode],Tabel2[Basisfrequentie],0,0))),VLOOKUP("za",WkDagen[],YEAR(NOW())-2020,FALSE),""))</f>
        <v>52</v>
      </c>
      <c r="J532"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32" s="498">
        <f ca="1">IF(Inventarisatie[[#This Row],[Freq. Ma-Vr]]=0,0,IF(_xlfn.XLOOKUP(Inventarisatie[[#This Row],[Locatie]],Tabel2[Locatiecode],Tabel2[Basisfrequentie],0,0)=Locatieoverzicht!$F$47,VLOOKUP("fe",WkDagen[],YEAR(NOW())-2020,FALSE),""))</f>
        <v>9</v>
      </c>
    </row>
    <row r="533" spans="1:11" x14ac:dyDescent="0.2">
      <c r="A533" s="493" t="s">
        <v>658</v>
      </c>
      <c r="B533" s="492" t="s">
        <v>301</v>
      </c>
      <c r="C533" s="493"/>
      <c r="D533" s="491" t="s">
        <v>307</v>
      </c>
      <c r="E533" s="493" t="s">
        <v>26</v>
      </c>
      <c r="F533" s="493" t="s">
        <v>268</v>
      </c>
      <c r="G533" s="494">
        <v>19.5</v>
      </c>
      <c r="H533" s="495" cm="1">
        <f t="array" aca="1" ref="H53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33" s="498">
        <f ca="1">IF(Inventarisatie[[#This Row],[Freq. Ma-Vr]]=0,0,IF(ISNUMBER(SEARCH("/",_xlfn.XLOOKUP(Inventarisatie[[#This Row],[Locatie]],Tabel2[Locatiecode],Tabel2[Basisfrequentie],0,0))),VLOOKUP("za",WkDagen[],YEAR(NOW())-2020,FALSE),""))</f>
        <v>52</v>
      </c>
      <c r="J533"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33" s="498">
        <f ca="1">IF(Inventarisatie[[#This Row],[Freq. Ma-Vr]]=0,0,IF(_xlfn.XLOOKUP(Inventarisatie[[#This Row],[Locatie]],Tabel2[Locatiecode],Tabel2[Basisfrequentie],0,0)=Locatieoverzicht!$F$47,VLOOKUP("fe",WkDagen[],YEAR(NOW())-2020,FALSE),""))</f>
        <v>9</v>
      </c>
    </row>
    <row r="534" spans="1:11" x14ac:dyDescent="0.2">
      <c r="A534" s="493" t="s">
        <v>658</v>
      </c>
      <c r="B534" s="492" t="s">
        <v>301</v>
      </c>
      <c r="C534" s="493"/>
      <c r="D534" s="491" t="s">
        <v>307</v>
      </c>
      <c r="E534" s="493" t="s">
        <v>26</v>
      </c>
      <c r="F534" s="493" t="s">
        <v>268</v>
      </c>
      <c r="G534" s="494">
        <v>50.1</v>
      </c>
      <c r="H534" s="495" cm="1">
        <f t="array" aca="1" ref="H53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34" s="498">
        <f ca="1">IF(Inventarisatie[[#This Row],[Freq. Ma-Vr]]=0,0,IF(ISNUMBER(SEARCH("/",_xlfn.XLOOKUP(Inventarisatie[[#This Row],[Locatie]],Tabel2[Locatiecode],Tabel2[Basisfrequentie],0,0))),VLOOKUP("za",WkDagen[],YEAR(NOW())-2020,FALSE),""))</f>
        <v>52</v>
      </c>
      <c r="J534"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34" s="498">
        <f ca="1">IF(Inventarisatie[[#This Row],[Freq. Ma-Vr]]=0,0,IF(_xlfn.XLOOKUP(Inventarisatie[[#This Row],[Locatie]],Tabel2[Locatiecode],Tabel2[Basisfrequentie],0,0)=Locatieoverzicht!$F$47,VLOOKUP("fe",WkDagen[],YEAR(NOW())-2020,FALSE),""))</f>
        <v>9</v>
      </c>
    </row>
    <row r="535" spans="1:11" x14ac:dyDescent="0.2">
      <c r="A535" s="493" t="s">
        <v>658</v>
      </c>
      <c r="B535" s="492" t="s">
        <v>301</v>
      </c>
      <c r="C535" s="493"/>
      <c r="D535" s="491" t="s">
        <v>307</v>
      </c>
      <c r="E535" s="493" t="s">
        <v>661</v>
      </c>
      <c r="F535" s="493" t="s">
        <v>268</v>
      </c>
      <c r="G535" s="494">
        <v>19.2</v>
      </c>
      <c r="H535" s="495" cm="1">
        <f t="array" aca="1" ref="H53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35" s="498">
        <f ca="1">IF(Inventarisatie[[#This Row],[Freq. Ma-Vr]]=0,0,IF(ISNUMBER(SEARCH("/",_xlfn.XLOOKUP(Inventarisatie[[#This Row],[Locatie]],Tabel2[Locatiecode],Tabel2[Basisfrequentie],0,0))),VLOOKUP("za",WkDagen[],YEAR(NOW())-2020,FALSE),""))</f>
        <v>52</v>
      </c>
      <c r="J535"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35" s="498">
        <f ca="1">IF(Inventarisatie[[#This Row],[Freq. Ma-Vr]]=0,0,IF(_xlfn.XLOOKUP(Inventarisatie[[#This Row],[Locatie]],Tabel2[Locatiecode],Tabel2[Basisfrequentie],0,0)=Locatieoverzicht!$F$47,VLOOKUP("fe",WkDagen[],YEAR(NOW())-2020,FALSE),""))</f>
        <v>9</v>
      </c>
    </row>
    <row r="536" spans="1:11" x14ac:dyDescent="0.2">
      <c r="A536" s="493" t="s">
        <v>658</v>
      </c>
      <c r="B536" s="492" t="s">
        <v>301</v>
      </c>
      <c r="C536" s="493"/>
      <c r="D536" s="491" t="s">
        <v>312</v>
      </c>
      <c r="E536" s="493" t="s">
        <v>45</v>
      </c>
      <c r="F536" s="493" t="s">
        <v>96</v>
      </c>
      <c r="G536" s="494">
        <v>22</v>
      </c>
      <c r="H536" s="495" cm="1">
        <f t="array" aca="1" ref="H53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36" s="498">
        <f ca="1">IF(Inventarisatie[[#This Row],[Freq. Ma-Vr]]=0,0,IF(ISNUMBER(SEARCH("/",_xlfn.XLOOKUP(Inventarisatie[[#This Row],[Locatie]],Tabel2[Locatiecode],Tabel2[Basisfrequentie],0,0))),VLOOKUP("za",WkDagen[],YEAR(NOW())-2020,FALSE),""))</f>
        <v>52</v>
      </c>
      <c r="J536"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36" s="498">
        <f ca="1">IF(Inventarisatie[[#This Row],[Freq. Ma-Vr]]=0,0,IF(_xlfn.XLOOKUP(Inventarisatie[[#This Row],[Locatie]],Tabel2[Locatiecode],Tabel2[Basisfrequentie],0,0)=Locatieoverzicht!$F$47,VLOOKUP("fe",WkDagen[],YEAR(NOW())-2020,FALSE),""))</f>
        <v>9</v>
      </c>
    </row>
    <row r="537" spans="1:11" x14ac:dyDescent="0.2">
      <c r="A537" s="493" t="s">
        <v>658</v>
      </c>
      <c r="B537" s="492" t="s">
        <v>301</v>
      </c>
      <c r="C537" s="493"/>
      <c r="D537" s="491" t="s">
        <v>312</v>
      </c>
      <c r="E537" s="493" t="s">
        <v>662</v>
      </c>
      <c r="F537" s="493" t="s">
        <v>268</v>
      </c>
      <c r="G537" s="494">
        <v>2.4</v>
      </c>
      <c r="H537" s="495" cm="1">
        <f t="array" aca="1" ref="H53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37" s="498">
        <f ca="1">IF(Inventarisatie[[#This Row],[Freq. Ma-Vr]]=0,0,IF(ISNUMBER(SEARCH("/",_xlfn.XLOOKUP(Inventarisatie[[#This Row],[Locatie]],Tabel2[Locatiecode],Tabel2[Basisfrequentie],0,0))),VLOOKUP("za",WkDagen[],YEAR(NOW())-2020,FALSE),""))</f>
        <v>52</v>
      </c>
      <c r="J537"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37" s="498">
        <f ca="1">IF(Inventarisatie[[#This Row],[Freq. Ma-Vr]]=0,0,IF(_xlfn.XLOOKUP(Inventarisatie[[#This Row],[Locatie]],Tabel2[Locatiecode],Tabel2[Basisfrequentie],0,0)=Locatieoverzicht!$F$47,VLOOKUP("fe",WkDagen[],YEAR(NOW())-2020,FALSE),""))</f>
        <v>9</v>
      </c>
    </row>
    <row r="538" spans="1:11" x14ac:dyDescent="0.2">
      <c r="A538" s="493" t="s">
        <v>658</v>
      </c>
      <c r="B538" s="492" t="s">
        <v>301</v>
      </c>
      <c r="C538" s="493"/>
      <c r="D538" s="491" t="s">
        <v>312</v>
      </c>
      <c r="E538" s="493" t="s">
        <v>663</v>
      </c>
      <c r="F538" s="493" t="s">
        <v>96</v>
      </c>
      <c r="G538" s="494">
        <v>3</v>
      </c>
      <c r="H538" s="495" cm="1">
        <f t="array" aca="1" ref="H53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38" s="498">
        <f ca="1">IF(Inventarisatie[[#This Row],[Freq. Ma-Vr]]=0,0,IF(ISNUMBER(SEARCH("/",_xlfn.XLOOKUP(Inventarisatie[[#This Row],[Locatie]],Tabel2[Locatiecode],Tabel2[Basisfrequentie],0,0))),VLOOKUP("za",WkDagen[],YEAR(NOW())-2020,FALSE),""))</f>
        <v>52</v>
      </c>
      <c r="J538"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38" s="498">
        <f ca="1">IF(Inventarisatie[[#This Row],[Freq. Ma-Vr]]=0,0,IF(_xlfn.XLOOKUP(Inventarisatie[[#This Row],[Locatie]],Tabel2[Locatiecode],Tabel2[Basisfrequentie],0,0)=Locatieoverzicht!$F$47,VLOOKUP("fe",WkDagen[],YEAR(NOW())-2020,FALSE),""))</f>
        <v>9</v>
      </c>
    </row>
    <row r="539" spans="1:11" x14ac:dyDescent="0.2">
      <c r="A539" s="493" t="s">
        <v>658</v>
      </c>
      <c r="B539" s="492" t="s">
        <v>301</v>
      </c>
      <c r="C539" s="493"/>
      <c r="D539" s="491" t="s">
        <v>311</v>
      </c>
      <c r="E539" s="493" t="s">
        <v>275</v>
      </c>
      <c r="F539" s="493" t="s">
        <v>17</v>
      </c>
      <c r="G539" s="494">
        <v>8</v>
      </c>
      <c r="H539" s="495" cm="1">
        <f t="array" aca="1" ref="H53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39" s="498">
        <f ca="1">IF(Inventarisatie[[#This Row],[Freq. Ma-Vr]]=0,0,IF(ISNUMBER(SEARCH("/",_xlfn.XLOOKUP(Inventarisatie[[#This Row],[Locatie]],Tabel2[Locatiecode],Tabel2[Basisfrequentie],0,0))),VLOOKUP("za",WkDagen[],YEAR(NOW())-2020,FALSE),""))</f>
        <v>52</v>
      </c>
      <c r="J539"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39" s="498">
        <f ca="1">IF(Inventarisatie[[#This Row],[Freq. Ma-Vr]]=0,0,IF(_xlfn.XLOOKUP(Inventarisatie[[#This Row],[Locatie]],Tabel2[Locatiecode],Tabel2[Basisfrequentie],0,0)=Locatieoverzicht!$F$47,VLOOKUP("fe",WkDagen[],YEAR(NOW())-2020,FALSE),""))</f>
        <v>9</v>
      </c>
    </row>
    <row r="540" spans="1:11" x14ac:dyDescent="0.2">
      <c r="A540" s="493" t="s">
        <v>658</v>
      </c>
      <c r="B540" s="492" t="s">
        <v>301</v>
      </c>
      <c r="C540" s="493"/>
      <c r="D540" s="491" t="s">
        <v>312</v>
      </c>
      <c r="E540" s="493" t="s">
        <v>663</v>
      </c>
      <c r="F540" s="493" t="s">
        <v>96</v>
      </c>
      <c r="G540" s="494">
        <v>1.4</v>
      </c>
      <c r="H540" s="495" cm="1">
        <f t="array" aca="1" ref="H54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40" s="517">
        <f ca="1">IF(Inventarisatie[[#This Row],[Freq. Ma-Vr]]=0,0,IF(ISNUMBER(SEARCH("/",_xlfn.XLOOKUP(Inventarisatie[[#This Row],[Locatie]],Tabel2[Locatiecode],Tabel2[Basisfrequentie],0,0))),VLOOKUP("za",WkDagen[],YEAR(NOW())-2020,FALSE),""))</f>
        <v>52</v>
      </c>
      <c r="J540" s="517">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40" s="517">
        <f ca="1">IF(Inventarisatie[[#This Row],[Freq. Ma-Vr]]=0,0,IF(_xlfn.XLOOKUP(Inventarisatie[[#This Row],[Locatie]],Tabel2[Locatiecode],Tabel2[Basisfrequentie],0,0)=Locatieoverzicht!$F$47,VLOOKUP("fe",WkDagen[],YEAR(NOW())-2020,FALSE),""))</f>
        <v>9</v>
      </c>
    </row>
    <row r="541" spans="1:11" x14ac:dyDescent="0.2">
      <c r="A541" s="493" t="s">
        <v>658</v>
      </c>
      <c r="B541" s="492" t="s">
        <v>301</v>
      </c>
      <c r="C541" s="493"/>
      <c r="D541" s="491" t="s">
        <v>311</v>
      </c>
      <c r="E541" s="493" t="s">
        <v>275</v>
      </c>
      <c r="F541" s="493" t="s">
        <v>17</v>
      </c>
      <c r="G541" s="494">
        <v>8</v>
      </c>
      <c r="H541" s="495" cm="1">
        <f t="array" aca="1" ref="H54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41" s="517">
        <f ca="1">IF(Inventarisatie[[#This Row],[Freq. Ma-Vr]]=0,0,IF(ISNUMBER(SEARCH("/",_xlfn.XLOOKUP(Inventarisatie[[#This Row],[Locatie]],Tabel2[Locatiecode],Tabel2[Basisfrequentie],0,0))),VLOOKUP("za",WkDagen[],YEAR(NOW())-2020,FALSE),""))</f>
        <v>52</v>
      </c>
      <c r="J541" s="517">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41" s="517">
        <f ca="1">IF(Inventarisatie[[#This Row],[Freq. Ma-Vr]]=0,0,IF(_xlfn.XLOOKUP(Inventarisatie[[#This Row],[Locatie]],Tabel2[Locatiecode],Tabel2[Basisfrequentie],0,0)=Locatieoverzicht!$F$47,VLOOKUP("fe",WkDagen[],YEAR(NOW())-2020,FALSE),""))</f>
        <v>9</v>
      </c>
    </row>
    <row r="542" spans="1:11" x14ac:dyDescent="0.2">
      <c r="A542" s="493" t="s">
        <v>658</v>
      </c>
      <c r="B542" s="492" t="s">
        <v>302</v>
      </c>
      <c r="C542" s="493"/>
      <c r="D542" s="491" t="s">
        <v>312</v>
      </c>
      <c r="E542" s="493" t="s">
        <v>41</v>
      </c>
      <c r="F542" s="493" t="s">
        <v>268</v>
      </c>
      <c r="G542" s="494">
        <v>26.7</v>
      </c>
      <c r="H542" s="495" cm="1">
        <f t="array" aca="1" ref="H54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42" s="498">
        <f ca="1">IF(Inventarisatie[[#This Row],[Freq. Ma-Vr]]=0,0,IF(ISNUMBER(SEARCH("/",_xlfn.XLOOKUP(Inventarisatie[[#This Row],[Locatie]],Tabel2[Locatiecode],Tabel2[Basisfrequentie],0,0))),VLOOKUP("za",WkDagen[],YEAR(NOW())-2020,FALSE),""))</f>
        <v>52</v>
      </c>
      <c r="J542"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42" s="498">
        <f ca="1">IF(Inventarisatie[[#This Row],[Freq. Ma-Vr]]=0,0,IF(_xlfn.XLOOKUP(Inventarisatie[[#This Row],[Locatie]],Tabel2[Locatiecode],Tabel2[Basisfrequentie],0,0)=Locatieoverzicht!$F$47,VLOOKUP("fe",WkDagen[],YEAR(NOW())-2020,FALSE),""))</f>
        <v>9</v>
      </c>
    </row>
    <row r="543" spans="1:11" x14ac:dyDescent="0.2">
      <c r="A543" s="493" t="s">
        <v>658</v>
      </c>
      <c r="B543" s="492" t="s">
        <v>302</v>
      </c>
      <c r="C543" s="493"/>
      <c r="D543" s="491" t="s">
        <v>307</v>
      </c>
      <c r="E543" s="493" t="s">
        <v>26</v>
      </c>
      <c r="F543" s="493" t="s">
        <v>268</v>
      </c>
      <c r="G543" s="494">
        <v>33.799999999999997</v>
      </c>
      <c r="H543" s="495" cm="1">
        <f t="array" aca="1" ref="H54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43" s="498">
        <f ca="1">IF(Inventarisatie[[#This Row],[Freq. Ma-Vr]]=0,0,IF(ISNUMBER(SEARCH("/",_xlfn.XLOOKUP(Inventarisatie[[#This Row],[Locatie]],Tabel2[Locatiecode],Tabel2[Basisfrequentie],0,0))),VLOOKUP("za",WkDagen[],YEAR(NOW())-2020,FALSE),""))</f>
        <v>52</v>
      </c>
      <c r="J543"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43" s="498">
        <f ca="1">IF(Inventarisatie[[#This Row],[Freq. Ma-Vr]]=0,0,IF(_xlfn.XLOOKUP(Inventarisatie[[#This Row],[Locatie]],Tabel2[Locatiecode],Tabel2[Basisfrequentie],0,0)=Locatieoverzicht!$F$47,VLOOKUP("fe",WkDagen[],YEAR(NOW())-2020,FALSE),""))</f>
        <v>9</v>
      </c>
    </row>
    <row r="544" spans="1:11" x14ac:dyDescent="0.2">
      <c r="A544" s="493" t="s">
        <v>658</v>
      </c>
      <c r="B544" s="492" t="s">
        <v>302</v>
      </c>
      <c r="C544" s="493"/>
      <c r="D544" s="491" t="s">
        <v>307</v>
      </c>
      <c r="E544" s="493" t="s">
        <v>26</v>
      </c>
      <c r="F544" s="493" t="s">
        <v>268</v>
      </c>
      <c r="G544" s="494">
        <v>19.5</v>
      </c>
      <c r="H544" s="495" cm="1">
        <f t="array" aca="1" ref="H54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44" s="498">
        <f ca="1">IF(Inventarisatie[[#This Row],[Freq. Ma-Vr]]=0,0,IF(ISNUMBER(SEARCH("/",_xlfn.XLOOKUP(Inventarisatie[[#This Row],[Locatie]],Tabel2[Locatiecode],Tabel2[Basisfrequentie],0,0))),VLOOKUP("za",WkDagen[],YEAR(NOW())-2020,FALSE),""))</f>
        <v>52</v>
      </c>
      <c r="J544"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44" s="498">
        <f ca="1">IF(Inventarisatie[[#This Row],[Freq. Ma-Vr]]=0,0,IF(_xlfn.XLOOKUP(Inventarisatie[[#This Row],[Locatie]],Tabel2[Locatiecode],Tabel2[Basisfrequentie],0,0)=Locatieoverzicht!$F$47,VLOOKUP("fe",WkDagen[],YEAR(NOW())-2020,FALSE),""))</f>
        <v>9</v>
      </c>
    </row>
    <row r="545" spans="1:11" x14ac:dyDescent="0.2">
      <c r="A545" s="493" t="s">
        <v>658</v>
      </c>
      <c r="B545" s="492" t="s">
        <v>302</v>
      </c>
      <c r="C545" s="493"/>
      <c r="D545" s="491" t="s">
        <v>312</v>
      </c>
      <c r="E545" s="493" t="s">
        <v>41</v>
      </c>
      <c r="F545" s="493" t="s">
        <v>268</v>
      </c>
      <c r="G545" s="494">
        <v>22.3</v>
      </c>
      <c r="H545" s="495" cm="1">
        <f t="array" aca="1" ref="H545"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45" s="498">
        <f ca="1">IF(Inventarisatie[[#This Row],[Freq. Ma-Vr]]=0,0,IF(ISNUMBER(SEARCH("/",_xlfn.XLOOKUP(Inventarisatie[[#This Row],[Locatie]],Tabel2[Locatiecode],Tabel2[Basisfrequentie],0,0))),VLOOKUP("za",WkDagen[],YEAR(NOW())-2020,FALSE),""))</f>
        <v>52</v>
      </c>
      <c r="J545"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45" s="498">
        <f ca="1">IF(Inventarisatie[[#This Row],[Freq. Ma-Vr]]=0,0,IF(_xlfn.XLOOKUP(Inventarisatie[[#This Row],[Locatie]],Tabel2[Locatiecode],Tabel2[Basisfrequentie],0,0)=Locatieoverzicht!$F$47,VLOOKUP("fe",WkDagen[],YEAR(NOW())-2020,FALSE),""))</f>
        <v>9</v>
      </c>
    </row>
    <row r="546" spans="1:11" x14ac:dyDescent="0.2">
      <c r="A546" s="493" t="s">
        <v>658</v>
      </c>
      <c r="B546" s="492" t="s">
        <v>302</v>
      </c>
      <c r="C546" s="493"/>
      <c r="D546" s="491" t="s">
        <v>307</v>
      </c>
      <c r="E546" s="493" t="s">
        <v>26</v>
      </c>
      <c r="F546" s="493" t="s">
        <v>268</v>
      </c>
      <c r="G546" s="494">
        <v>19.5</v>
      </c>
      <c r="H546" s="495" cm="1">
        <f t="array" aca="1" ref="H546"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46" s="498">
        <f ca="1">IF(Inventarisatie[[#This Row],[Freq. Ma-Vr]]=0,0,IF(ISNUMBER(SEARCH("/",_xlfn.XLOOKUP(Inventarisatie[[#This Row],[Locatie]],Tabel2[Locatiecode],Tabel2[Basisfrequentie],0,0))),VLOOKUP("za",WkDagen[],YEAR(NOW())-2020,FALSE),""))</f>
        <v>52</v>
      </c>
      <c r="J546"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46" s="498">
        <f ca="1">IF(Inventarisatie[[#This Row],[Freq. Ma-Vr]]=0,0,IF(_xlfn.XLOOKUP(Inventarisatie[[#This Row],[Locatie]],Tabel2[Locatiecode],Tabel2[Basisfrequentie],0,0)=Locatieoverzicht!$F$47,VLOOKUP("fe",WkDagen[],YEAR(NOW())-2020,FALSE),""))</f>
        <v>9</v>
      </c>
    </row>
    <row r="547" spans="1:11" x14ac:dyDescent="0.2">
      <c r="A547" s="493" t="s">
        <v>658</v>
      </c>
      <c r="B547" s="492" t="s">
        <v>302</v>
      </c>
      <c r="C547" s="493"/>
      <c r="D547" s="491" t="s">
        <v>307</v>
      </c>
      <c r="E547" s="493" t="s">
        <v>664</v>
      </c>
      <c r="F547" s="493" t="s">
        <v>268</v>
      </c>
      <c r="G547" s="494">
        <v>181.6</v>
      </c>
      <c r="H547" s="495" cm="1">
        <f t="array" aca="1" ref="H547"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47" s="498">
        <f ca="1">IF(Inventarisatie[[#This Row],[Freq. Ma-Vr]]=0,0,IF(ISNUMBER(SEARCH("/",_xlfn.XLOOKUP(Inventarisatie[[#This Row],[Locatie]],Tabel2[Locatiecode],Tabel2[Basisfrequentie],0,0))),VLOOKUP("za",WkDagen[],YEAR(NOW())-2020,FALSE),""))</f>
        <v>52</v>
      </c>
      <c r="J547"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47" s="498">
        <f ca="1">IF(Inventarisatie[[#This Row],[Freq. Ma-Vr]]=0,0,IF(_xlfn.XLOOKUP(Inventarisatie[[#This Row],[Locatie]],Tabel2[Locatiecode],Tabel2[Basisfrequentie],0,0)=Locatieoverzicht!$F$47,VLOOKUP("fe",WkDagen[],YEAR(NOW())-2020,FALSE),""))</f>
        <v>9</v>
      </c>
    </row>
    <row r="548" spans="1:11" x14ac:dyDescent="0.2">
      <c r="A548" s="493" t="s">
        <v>658</v>
      </c>
      <c r="B548" s="492" t="s">
        <v>302</v>
      </c>
      <c r="C548" s="493"/>
      <c r="D548" s="491" t="s">
        <v>307</v>
      </c>
      <c r="E548" s="493" t="s">
        <v>664</v>
      </c>
      <c r="F548" s="493" t="s">
        <v>268</v>
      </c>
      <c r="G548" s="494">
        <v>146.80000000000001</v>
      </c>
      <c r="H548" s="495" cm="1">
        <f t="array" aca="1" ref="H548"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48" s="498">
        <f ca="1">IF(Inventarisatie[[#This Row],[Freq. Ma-Vr]]=0,0,IF(ISNUMBER(SEARCH("/",_xlfn.XLOOKUP(Inventarisatie[[#This Row],[Locatie]],Tabel2[Locatiecode],Tabel2[Basisfrequentie],0,0))),VLOOKUP("za",WkDagen[],YEAR(NOW())-2020,FALSE),""))</f>
        <v>52</v>
      </c>
      <c r="J548"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48" s="498">
        <f ca="1">IF(Inventarisatie[[#This Row],[Freq. Ma-Vr]]=0,0,IF(_xlfn.XLOOKUP(Inventarisatie[[#This Row],[Locatie]],Tabel2[Locatiecode],Tabel2[Basisfrequentie],0,0)=Locatieoverzicht!$F$47,VLOOKUP("fe",WkDagen[],YEAR(NOW())-2020,FALSE),""))</f>
        <v>9</v>
      </c>
    </row>
    <row r="549" spans="1:11" x14ac:dyDescent="0.2">
      <c r="A549" s="493" t="s">
        <v>658</v>
      </c>
      <c r="B549" s="492" t="s">
        <v>302</v>
      </c>
      <c r="C549" s="493"/>
      <c r="D549" s="491" t="s">
        <v>307</v>
      </c>
      <c r="E549" s="493" t="s">
        <v>26</v>
      </c>
      <c r="F549" s="493" t="s">
        <v>268</v>
      </c>
      <c r="G549" s="494">
        <v>19.5</v>
      </c>
      <c r="H549" s="495" cm="1">
        <f t="array" aca="1" ref="H549"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49" s="498">
        <f ca="1">IF(Inventarisatie[[#This Row],[Freq. Ma-Vr]]=0,0,IF(ISNUMBER(SEARCH("/",_xlfn.XLOOKUP(Inventarisatie[[#This Row],[Locatie]],Tabel2[Locatiecode],Tabel2[Basisfrequentie],0,0))),VLOOKUP("za",WkDagen[],YEAR(NOW())-2020,FALSE),""))</f>
        <v>52</v>
      </c>
      <c r="J549"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49" s="498">
        <f ca="1">IF(Inventarisatie[[#This Row],[Freq. Ma-Vr]]=0,0,IF(_xlfn.XLOOKUP(Inventarisatie[[#This Row],[Locatie]],Tabel2[Locatiecode],Tabel2[Basisfrequentie],0,0)=Locatieoverzicht!$F$47,VLOOKUP("fe",WkDagen[],YEAR(NOW())-2020,FALSE),""))</f>
        <v>9</v>
      </c>
    </row>
    <row r="550" spans="1:11" x14ac:dyDescent="0.2">
      <c r="A550" s="493" t="s">
        <v>658</v>
      </c>
      <c r="B550" s="492" t="s">
        <v>302</v>
      </c>
      <c r="C550" s="493"/>
      <c r="D550" s="491" t="s">
        <v>307</v>
      </c>
      <c r="E550" s="493" t="s">
        <v>26</v>
      </c>
      <c r="F550" s="493" t="s">
        <v>268</v>
      </c>
      <c r="G550" s="494">
        <v>15.9</v>
      </c>
      <c r="H550" s="495" cm="1">
        <f t="array" aca="1" ref="H550"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50" s="498">
        <f ca="1">IF(Inventarisatie[[#This Row],[Freq. Ma-Vr]]=0,0,IF(ISNUMBER(SEARCH("/",_xlfn.XLOOKUP(Inventarisatie[[#This Row],[Locatie]],Tabel2[Locatiecode],Tabel2[Basisfrequentie],0,0))),VLOOKUP("za",WkDagen[],YEAR(NOW())-2020,FALSE),""))</f>
        <v>52</v>
      </c>
      <c r="J550"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50" s="498">
        <f ca="1">IF(Inventarisatie[[#This Row],[Freq. Ma-Vr]]=0,0,IF(_xlfn.XLOOKUP(Inventarisatie[[#This Row],[Locatie]],Tabel2[Locatiecode],Tabel2[Basisfrequentie],0,0)=Locatieoverzicht!$F$47,VLOOKUP("fe",WkDagen[],YEAR(NOW())-2020,FALSE),""))</f>
        <v>9</v>
      </c>
    </row>
    <row r="551" spans="1:11" x14ac:dyDescent="0.2">
      <c r="A551" s="493" t="s">
        <v>658</v>
      </c>
      <c r="B551" s="492" t="s">
        <v>302</v>
      </c>
      <c r="C551" s="493"/>
      <c r="D551" s="491" t="s">
        <v>312</v>
      </c>
      <c r="E551" s="493" t="s">
        <v>663</v>
      </c>
      <c r="F551" s="493" t="s">
        <v>96</v>
      </c>
      <c r="G551" s="494">
        <v>3</v>
      </c>
      <c r="H551" s="495" cm="1">
        <f t="array" aca="1" ref="H551"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51" s="498">
        <f ca="1">IF(Inventarisatie[[#This Row],[Freq. Ma-Vr]]=0,0,IF(ISNUMBER(SEARCH("/",_xlfn.XLOOKUP(Inventarisatie[[#This Row],[Locatie]],Tabel2[Locatiecode],Tabel2[Basisfrequentie],0,0))),VLOOKUP("za",WkDagen[],YEAR(NOW())-2020,FALSE),""))</f>
        <v>52</v>
      </c>
      <c r="J551"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51" s="498">
        <f ca="1">IF(Inventarisatie[[#This Row],[Freq. Ma-Vr]]=0,0,IF(_xlfn.XLOOKUP(Inventarisatie[[#This Row],[Locatie]],Tabel2[Locatiecode],Tabel2[Basisfrequentie],0,0)=Locatieoverzicht!$F$47,VLOOKUP("fe",WkDagen[],YEAR(NOW())-2020,FALSE),""))</f>
        <v>9</v>
      </c>
    </row>
    <row r="552" spans="1:11" x14ac:dyDescent="0.2">
      <c r="A552" s="493" t="s">
        <v>658</v>
      </c>
      <c r="B552" s="492" t="s">
        <v>302</v>
      </c>
      <c r="C552" s="493"/>
      <c r="D552" s="491" t="s">
        <v>311</v>
      </c>
      <c r="E552" s="493" t="s">
        <v>275</v>
      </c>
      <c r="F552" s="493" t="s">
        <v>17</v>
      </c>
      <c r="G552" s="494">
        <v>8</v>
      </c>
      <c r="H552" s="495" cm="1">
        <f t="array" aca="1" ref="H552"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52" s="498">
        <f ca="1">IF(Inventarisatie[[#This Row],[Freq. Ma-Vr]]=0,0,IF(ISNUMBER(SEARCH("/",_xlfn.XLOOKUP(Inventarisatie[[#This Row],[Locatie]],Tabel2[Locatiecode],Tabel2[Basisfrequentie],0,0))),VLOOKUP("za",WkDagen[],YEAR(NOW())-2020,FALSE),""))</f>
        <v>52</v>
      </c>
      <c r="J552"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52" s="498">
        <f ca="1">IF(Inventarisatie[[#This Row],[Freq. Ma-Vr]]=0,0,IF(_xlfn.XLOOKUP(Inventarisatie[[#This Row],[Locatie]],Tabel2[Locatiecode],Tabel2[Basisfrequentie],0,0)=Locatieoverzicht!$F$47,VLOOKUP("fe",WkDagen[],YEAR(NOW())-2020,FALSE),""))</f>
        <v>9</v>
      </c>
    </row>
    <row r="553" spans="1:11" x14ac:dyDescent="0.2">
      <c r="A553" s="493" t="s">
        <v>658</v>
      </c>
      <c r="B553" s="492" t="s">
        <v>302</v>
      </c>
      <c r="C553" s="493"/>
      <c r="D553" s="491" t="s">
        <v>312</v>
      </c>
      <c r="E553" s="493" t="s">
        <v>663</v>
      </c>
      <c r="F553" s="493" t="s">
        <v>96</v>
      </c>
      <c r="G553" s="494">
        <v>1.4</v>
      </c>
      <c r="H553" s="495" cm="1">
        <f t="array" aca="1" ref="H553"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53" s="498">
        <f ca="1">IF(Inventarisatie[[#This Row],[Freq. Ma-Vr]]=0,0,IF(ISNUMBER(SEARCH("/",_xlfn.XLOOKUP(Inventarisatie[[#This Row],[Locatie]],Tabel2[Locatiecode],Tabel2[Basisfrequentie],0,0))),VLOOKUP("za",WkDagen[],YEAR(NOW())-2020,FALSE),""))</f>
        <v>52</v>
      </c>
      <c r="J553"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53" s="498">
        <f ca="1">IF(Inventarisatie[[#This Row],[Freq. Ma-Vr]]=0,0,IF(_xlfn.XLOOKUP(Inventarisatie[[#This Row],[Locatie]],Tabel2[Locatiecode],Tabel2[Basisfrequentie],0,0)=Locatieoverzicht!$F$47,VLOOKUP("fe",WkDagen[],YEAR(NOW())-2020,FALSE),""))</f>
        <v>9</v>
      </c>
    </row>
    <row r="554" spans="1:11" x14ac:dyDescent="0.2">
      <c r="A554" s="493" t="s">
        <v>658</v>
      </c>
      <c r="B554" s="492" t="s">
        <v>302</v>
      </c>
      <c r="C554" s="493"/>
      <c r="D554" s="491" t="s">
        <v>311</v>
      </c>
      <c r="E554" s="493" t="s">
        <v>275</v>
      </c>
      <c r="F554" s="493" t="s">
        <v>17</v>
      </c>
      <c r="G554" s="494">
        <v>8</v>
      </c>
      <c r="H554" s="495" cm="1">
        <f t="array" aca="1" ref="H554" ca="1">IF(ISNUMBER(_xlfn.XLOOKUP(Inventarisatie[[#This Row],[Locatie]],Tabel2[Locatiecode],Tabel2[Basisfrequentie],0,0)),_xlfn.IFS(_xlfn.XLOOKUP(Inventarisatie[[#This Row],[Locatie]],Tabel2[Locatiecode],Tabel2[Basisfrequentie],0,0)=255,VLOOKUP("Werkdagen",WkDagen[],YEAR(NOW())-2020,FALSE),_xlfn.XLOOKUP(Inventarisatie[[#This Row],[Locatie]],Tabel2[Locatiecode],Tabel2[Basisfrequentie],0,0)=204,VLOOKUP("Werkdagen (mddv)",WkDagen[],YEAR(NOW())-2020,FALSE),TRUE,_xlfn.XLOOKUP(Inventarisatie[[#This Row],[Locatie]],Tabel2[Locatiecode],Tabel2[Basisfrequentie],0,0)),VLOOKUP("Werkdagen",WkDagen[],YEAR(NOW())-2020,FALSE))</f>
        <v>255</v>
      </c>
      <c r="I554" s="498">
        <f ca="1">IF(Inventarisatie[[#This Row],[Freq. Ma-Vr]]=0,0,IF(ISNUMBER(SEARCH("/",_xlfn.XLOOKUP(Inventarisatie[[#This Row],[Locatie]],Tabel2[Locatiecode],Tabel2[Basisfrequentie],0,0))),VLOOKUP("za",WkDagen[],YEAR(NOW())-2020,FALSE),""))</f>
        <v>52</v>
      </c>
      <c r="J554" s="498">
        <f ca="1">IF(Inventarisatie[[#This Row],[Freq. Ma-Vr]]=0,0,IF(ISNUMBER(SEARCH("/",_xlfn.XLOOKUP(Inventarisatie[[#This Row],[Locatie]],Tabel2[Locatiecode],Tabel2[Basisfrequentie],0,0))),IF(_xlfn.XLOOKUP(Inventarisatie[[#This Row],[Locatie]],Tabel2[Locatiecode],Tabel2[Basisfrequentie],0,0)&lt;&gt;Locatieoverzicht!$F$45,VLOOKUP("zo",WkDagen[],YEAR(NOW())-2020,FALSE),""),""))</f>
        <v>49</v>
      </c>
      <c r="K554" s="498">
        <f ca="1">IF(Inventarisatie[[#This Row],[Freq. Ma-Vr]]=0,0,IF(_xlfn.XLOOKUP(Inventarisatie[[#This Row],[Locatie]],Tabel2[Locatiecode],Tabel2[Basisfrequentie],0,0)=Locatieoverzicht!$F$47,VLOOKUP("fe",WkDagen[],YEAR(NOW())-2020,FALSE),""))</f>
        <v>9</v>
      </c>
    </row>
  </sheetData>
  <sheetProtection algorithmName="SHA-512" hashValue="w37ewLWR55h7SB5NPSpUYOdbr7MizIVSSgtpTI9TuGAA1LJ5/+SbS2DbH2kDJTCHnQ/3KW30R4H7qWqlGdwIHg==" saltValue="7n1j2XAMayBoVsiqwvvFFQ==" spinCount="100000" sheet="1" objects="1" scenarios="1"/>
  <sortState xmlns:xlrd2="http://schemas.microsoft.com/office/spreadsheetml/2017/richdata2" ref="A2:H442">
    <sortCondition ref="A2:A442"/>
  </sortState>
  <phoneticPr fontId="3" type="noConversion"/>
  <conditionalFormatting sqref="A556:K631 A2:K554">
    <cfRule type="expression" dxfId="27" priority="6">
      <formula>$A1&lt;&gt;$A2</formula>
    </cfRule>
  </conditionalFormatting>
  <conditionalFormatting sqref="A540:K540">
    <cfRule type="expression" dxfId="26" priority="176">
      <formula>$A521&lt;&gt;$A540</formula>
    </cfRule>
  </conditionalFormatting>
  <conditionalFormatting sqref="A555:K555">
    <cfRule type="expression" dxfId="25" priority="180">
      <formula>$A541&lt;&gt;$A555</formula>
    </cfRule>
  </conditionalFormatting>
  <conditionalFormatting sqref="F553:G553">
    <cfRule type="expression" dxfId="24" priority="5">
      <formula>$A534&lt;&gt;$A553</formula>
    </cfRule>
  </conditionalFormatting>
  <printOptions horizontalCentered="1" verticalCentered="1"/>
  <pageMargins left="0.70866141732283472" right="0.70866141732283472" top="0.74803149606299213" bottom="0.74803149606299213" header="0.31496062992125984" footer="0.31496062992125984"/>
  <pageSetup paperSize="9" scale="80" fitToHeight="0" orientation="landscape" horizontalDpi="0" verticalDpi="0" r:id="rId1"/>
  <headerFooter>
    <oddHeader>&amp;L&amp;9&amp;K04-048Inventarisatiestaat&amp;R&amp;G</oddHeader>
    <oddFooter>&amp;L&amp;9&amp;K04-048Offerteaanvraag EU Openbare aanbesteding Schoonmaakonderhoud&amp;C&amp;9&amp;K04-048 8 april 2022&amp;R&amp;9&amp;K04-048Blad &amp;P van &amp;N</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599A-C270-4827-BD25-DFFFB9B2EEB5}">
  <sheetPr codeName="Blad3">
    <pageSetUpPr fitToPage="1"/>
  </sheetPr>
  <dimension ref="A1:BE353"/>
  <sheetViews>
    <sheetView showGridLines="0" showRowColHeaders="0" zoomScaleNormal="100" workbookViewId="0">
      <selection activeCell="E33" sqref="E33"/>
    </sheetView>
  </sheetViews>
  <sheetFormatPr defaultColWidth="8.85546875" defaultRowHeight="12" x14ac:dyDescent="0.2"/>
  <cols>
    <col min="1" max="1" width="9.140625" style="172"/>
    <col min="2" max="2" width="10.85546875" style="9" customWidth="1"/>
    <col min="3" max="3" width="11.7109375" style="9" customWidth="1"/>
    <col min="4" max="9" width="10.7109375" style="9" customWidth="1"/>
    <col min="10" max="10" width="10.7109375" style="9" hidden="1" customWidth="1"/>
    <col min="11" max="11" width="12.7109375" style="9" customWidth="1"/>
    <col min="12" max="12" width="9.140625" style="172" customWidth="1"/>
    <col min="13" max="53" width="9.140625" style="9" customWidth="1"/>
    <col min="54" max="54" width="8.85546875" style="9"/>
    <col min="55" max="55" width="12.42578125" style="9" bestFit="1" customWidth="1"/>
    <col min="56" max="16384" width="8.85546875" style="9"/>
  </cols>
  <sheetData>
    <row r="1" spans="1:57" ht="12.75" thickBot="1" x14ac:dyDescent="0.25"/>
    <row r="2" spans="1:57" ht="81" thickBot="1" x14ac:dyDescent="0.3">
      <c r="B2" s="480" t="s">
        <v>0</v>
      </c>
      <c r="C2" s="469" t="s">
        <v>2</v>
      </c>
      <c r="D2" s="481" t="str" cm="1">
        <f t="array" ref="D2:I2">TRANSPOSE(_xlfn.SORTBY(_xlfn._xlws.FILTER(_xlfn.UNIQUE(Inventarisatie[Categorie]),_xlfn.UNIQUE(Inventarisatie[Categorie])&lt;&gt;""),Locatieoverzicht!BD1:BD6))</f>
        <v>Boxenruimte</v>
      </c>
      <c r="E2" s="482" t="str">
        <v>Kantoorruimte</v>
      </c>
      <c r="F2" s="482" t="str">
        <v>Representatief</v>
      </c>
      <c r="G2" s="482" t="str">
        <v>Restauratief</v>
      </c>
      <c r="H2" s="482" t="str">
        <v>Sanitaire ruimte</v>
      </c>
      <c r="I2" s="483" t="str">
        <v>Verkeersruimte</v>
      </c>
      <c r="J2" s="260"/>
      <c r="K2" s="470" t="s">
        <v>313</v>
      </c>
    </row>
    <row r="3" spans="1:57" ht="15" customHeight="1" x14ac:dyDescent="0.2">
      <c r="A3" s="172" cm="1">
        <f t="array" aca="1" ref="A3" ca="1">_xlfn.IFS(SUM(D3:J3)&gt;0,1,OFFSET($K3,-MOD(BB3+4,5),0)=0,2,TRUE,0)</f>
        <v>1</v>
      </c>
      <c r="B3" s="535" t="str">
        <f>BC3</f>
        <v>ALK-ARS</v>
      </c>
      <c r="C3" s="204">
        <v>255</v>
      </c>
      <c r="D3" s="205">
        <f ca="1">SUMIFS(Inventarisatie[Oppervlakte],Inventarisatie[Locatie],$BC3,Inventarisatie[Freq. Ma-Vr],$C3,Inventarisatie[Categorie],D$2)</f>
        <v>44.7</v>
      </c>
      <c r="E3" s="183">
        <f ca="1">SUMIFS(Inventarisatie[Oppervlakte],Inventarisatie[Locatie],$BC3,Inventarisatie[Freq. Ma-Vr],$C3,Inventarisatie[Categorie],E$2)</f>
        <v>61.9</v>
      </c>
      <c r="F3" s="183">
        <f ca="1">SUMIFS(Inventarisatie[Oppervlakte],Inventarisatie[Locatie],$BC3,Inventarisatie[Freq. Ma-Vr],$C3,Inventarisatie[Categorie],F$2)</f>
        <v>118.1</v>
      </c>
      <c r="G3" s="183">
        <f ca="1">SUMIFS(Inventarisatie[Oppervlakte],Inventarisatie[Locatie],$BC3,Inventarisatie[Freq. Ma-Vr],$C3,Inventarisatie[Categorie],G$2)</f>
        <v>20.100000000000001</v>
      </c>
      <c r="H3" s="183">
        <f ca="1">SUMIFS(Inventarisatie[Oppervlakte],Inventarisatie[Locatie],$BC3,Inventarisatie[Freq. Ma-Vr],$C3,Inventarisatie[Categorie],H$2)</f>
        <v>2.1</v>
      </c>
      <c r="I3" s="471">
        <f ca="1">SUMIFS(Inventarisatie[Oppervlakte],Inventarisatie[Locatie],$BC3,Inventarisatie[Freq. Ma-Vr],$C3,Inventarisatie[Categorie],I$2)</f>
        <v>78.099999999999994</v>
      </c>
      <c r="J3" s="206">
        <f ca="1">SUMIFS(Inventarisatie[Oppervlakte],Inventarisatie[Locatie],$BC3,Inventarisatie[Freq. Ma-Vr],$C3,Inventarisatie[Categorie],J$2)</f>
        <v>0</v>
      </c>
      <c r="K3" s="536">
        <f ca="1">SUM(D3:J8)</f>
        <v>325</v>
      </c>
      <c r="L3" s="316" t="b">
        <f>IF(_xlfn.XLOOKUP(BC3,Tabel2[Locatiecode],Tabel2[Type locatie],"",0)="vaccin",TRUE,FALSE)</f>
        <v>0</v>
      </c>
      <c r="BB3" s="9" cm="1">
        <f t="array" ref="BB3:BB172">_xlfn.SEQUENCE(COUNTA(_xlfn._xlws.SORT(_xlfn.UNIQUE(Inventarisatie[Locatie])))*5,,1,1)</f>
        <v>1</v>
      </c>
      <c r="BC3" s="9" t="str" cm="1">
        <f t="array" ref="BC3:BC206">IF(ISNUMBER(_xlfn.SEQUENCE(COUNTA(_xlfn._xlws.SORT(_xlfn.UNIQUE(Inventarisatie[Locatie])))*6,,1,1)),_xlfn.XLOOKUP(ROUNDDOWN((_xlfn.SEQUENCE(COUNTA(_xlfn._xlws.SORT(_xlfn.UNIQUE(Inventarisatie[Locatie])))*6,,1,1)+5)/6,0),_xlfn.SEQUENCE(COUNTA(_xlfn._xlws.SORT(_xlfn.UNIQUE(Inventarisatie[Locatie]))),,1,1),_xlfn._xlws.SORT(_xlfn.UNIQUE(Inventarisatie[Locatie]))),"")</f>
        <v>ALK-ARS</v>
      </c>
      <c r="BD3" s="9">
        <f ca="1">IF(SUM(D3:J3)&gt;0,C3,"")</f>
        <v>255</v>
      </c>
      <c r="BE3" s="9" cm="1">
        <f t="array" aca="1" ref="BE3" ca="1">LARGE(_xlfn._xlws.FILTER(BD:BD,BC:BC="ALK-DIK"),1)</f>
        <v>204</v>
      </c>
    </row>
    <row r="4" spans="1:57" ht="0.2" customHeight="1" x14ac:dyDescent="0.2">
      <c r="A4" s="172" cm="1">
        <f t="array" aca="1" ref="A4" ca="1">_xlfn.IFS(SUM(D4:J4)&gt;0,1,OFFSET($K4,-MOD(BB4+4,5),0)=0,2,TRUE,0)</f>
        <v>0</v>
      </c>
      <c r="B4" s="527"/>
      <c r="C4" s="208">
        <v>204</v>
      </c>
      <c r="D4" s="194">
        <f ca="1">SUMIFS(Inventarisatie[Oppervlakte],Inventarisatie[Locatie],$BC4,Inventarisatie[Freq. Ma-Vr],$C4,Inventarisatie[Categorie],D$2)</f>
        <v>0</v>
      </c>
      <c r="E4" s="192">
        <f ca="1">SUMIFS(Inventarisatie[Oppervlakte],Inventarisatie[Locatie],$BC4,Inventarisatie[Freq. Ma-Vr],$C4,Inventarisatie[Categorie],E$2)</f>
        <v>0</v>
      </c>
      <c r="F4" s="192">
        <f ca="1">SUMIFS(Inventarisatie[Oppervlakte],Inventarisatie[Locatie],$BC4,Inventarisatie[Freq. Ma-Vr],$C4,Inventarisatie[Categorie],F$2)</f>
        <v>0</v>
      </c>
      <c r="G4" s="192">
        <f ca="1">SUMIFS(Inventarisatie[Oppervlakte],Inventarisatie[Locatie],$BC4,Inventarisatie[Freq. Ma-Vr],$C4,Inventarisatie[Categorie],G$2)</f>
        <v>0</v>
      </c>
      <c r="H4" s="192">
        <f ca="1">SUMIFS(Inventarisatie[Oppervlakte],Inventarisatie[Locatie],$BC4,Inventarisatie[Freq. Ma-Vr],$C4,Inventarisatie[Categorie],H$2)</f>
        <v>0</v>
      </c>
      <c r="I4" s="472">
        <f ca="1">SUMIFS(Inventarisatie[Oppervlakte],Inventarisatie[Locatie],$BC4,Inventarisatie[Freq. Ma-Vr],$C4,Inventarisatie[Categorie],I$2)</f>
        <v>0</v>
      </c>
      <c r="J4" s="209">
        <f ca="1">SUMIFS(Inventarisatie[Oppervlakte],Inventarisatie[Locatie],$BC4,Inventarisatie[Freq. Ma-Vr],$C4,Inventarisatie[Categorie],J$2)</f>
        <v>0</v>
      </c>
      <c r="K4" s="528"/>
      <c r="L4" s="316" t="b">
        <f>IF(_xlfn.XLOOKUP(BC4,Tabel2[Locatiecode],Tabel2[Type locatie],"",0)="vaccin",TRUE,FALSE)</f>
        <v>0</v>
      </c>
      <c r="BB4" s="9">
        <v>2</v>
      </c>
      <c r="BC4" s="9" t="str">
        <v>ALK-ARS</v>
      </c>
      <c r="BD4" s="9" t="str">
        <f t="shared" ref="BD4:BD67" ca="1" si="0">IF(SUM(D4:J4)&gt;0,C4,"")</f>
        <v/>
      </c>
    </row>
    <row r="5" spans="1:57" ht="0.2" customHeight="1" x14ac:dyDescent="0.2">
      <c r="A5" s="172" cm="1">
        <f t="array" aca="1" ref="A5" ca="1">_xlfn.IFS(SUM(D5:J5)&gt;0,1,OFFSET($K5,-MOD(BB5+4,5),0)=0,2,TRUE,0)</f>
        <v>0</v>
      </c>
      <c r="B5" s="527"/>
      <c r="C5" s="208">
        <v>156</v>
      </c>
      <c r="D5" s="194">
        <f ca="1">SUMIFS(Inventarisatie[Oppervlakte],Inventarisatie[Locatie],$BC5,Inventarisatie[Freq. Ma-Vr],$C5,Inventarisatie[Categorie],D$2)</f>
        <v>0</v>
      </c>
      <c r="E5" s="192">
        <f ca="1">SUMIFS(Inventarisatie[Oppervlakte],Inventarisatie[Locatie],$BC5,Inventarisatie[Freq. Ma-Vr],$C5,Inventarisatie[Categorie],E$2)</f>
        <v>0</v>
      </c>
      <c r="F5" s="192">
        <f ca="1">SUMIFS(Inventarisatie[Oppervlakte],Inventarisatie[Locatie],$BC5,Inventarisatie[Freq. Ma-Vr],$C5,Inventarisatie[Categorie],F$2)</f>
        <v>0</v>
      </c>
      <c r="G5" s="192">
        <f ca="1">SUMIFS(Inventarisatie[Oppervlakte],Inventarisatie[Locatie],$BC5,Inventarisatie[Freq. Ma-Vr],$C5,Inventarisatie[Categorie],G$2)</f>
        <v>0</v>
      </c>
      <c r="H5" s="192">
        <f ca="1">SUMIFS(Inventarisatie[Oppervlakte],Inventarisatie[Locatie],$BC5,Inventarisatie[Freq. Ma-Vr],$C5,Inventarisatie[Categorie],H$2)</f>
        <v>0</v>
      </c>
      <c r="I5" s="472">
        <f ca="1">SUMIFS(Inventarisatie[Oppervlakte],Inventarisatie[Locatie],$BC5,Inventarisatie[Freq. Ma-Vr],$C5,Inventarisatie[Categorie],I$2)</f>
        <v>0</v>
      </c>
      <c r="J5" s="209">
        <f ca="1">SUMIFS(Inventarisatie[Oppervlakte],Inventarisatie[Locatie],$BC5,Inventarisatie[Freq. Ma-Vr],$C5,Inventarisatie[Categorie],J$2)</f>
        <v>0</v>
      </c>
      <c r="K5" s="529"/>
      <c r="L5" s="316" t="b">
        <f>IF(_xlfn.XLOOKUP(BC5,Tabel2[Locatiecode],Tabel2[Type locatie],"",0)="vaccin",TRUE,FALSE)</f>
        <v>0</v>
      </c>
      <c r="BB5" s="9">
        <v>3</v>
      </c>
      <c r="BC5" s="9" t="str">
        <v>ALK-ARS</v>
      </c>
      <c r="BD5" s="9" t="str">
        <f t="shared" ca="1" si="0"/>
        <v/>
      </c>
    </row>
    <row r="6" spans="1:57" ht="0.2" customHeight="1" x14ac:dyDescent="0.2">
      <c r="A6" s="172" cm="1">
        <f t="array" aca="1" ref="A6" ca="1">_xlfn.IFS(SUM(D6:J6)&gt;0,1,OFFSET($K6,-MOD(BB6+4,5),0)=0,2,TRUE,0)</f>
        <v>0</v>
      </c>
      <c r="B6" s="527"/>
      <c r="C6" s="208">
        <v>104</v>
      </c>
      <c r="D6" s="194">
        <f ca="1">SUMIFS(Inventarisatie[Oppervlakte],Inventarisatie[Locatie],$BC6,Inventarisatie[Freq. Ma-Vr],$C6,Inventarisatie[Categorie],D$2)</f>
        <v>0</v>
      </c>
      <c r="E6" s="192">
        <f ca="1">SUMIFS(Inventarisatie[Oppervlakte],Inventarisatie[Locatie],$BC6,Inventarisatie[Freq. Ma-Vr],$C6,Inventarisatie[Categorie],E$2)</f>
        <v>0</v>
      </c>
      <c r="F6" s="192">
        <f ca="1">SUMIFS(Inventarisatie[Oppervlakte],Inventarisatie[Locatie],$BC6,Inventarisatie[Freq. Ma-Vr],$C6,Inventarisatie[Categorie],F$2)</f>
        <v>0</v>
      </c>
      <c r="G6" s="192">
        <f ca="1">SUMIFS(Inventarisatie[Oppervlakte],Inventarisatie[Locatie],$BC6,Inventarisatie[Freq. Ma-Vr],$C6,Inventarisatie[Categorie],G$2)</f>
        <v>0</v>
      </c>
      <c r="H6" s="192">
        <f ca="1">SUMIFS(Inventarisatie[Oppervlakte],Inventarisatie[Locatie],$BC6,Inventarisatie[Freq. Ma-Vr],$C6,Inventarisatie[Categorie],H$2)</f>
        <v>0</v>
      </c>
      <c r="I6" s="472">
        <f ca="1">SUMIFS(Inventarisatie[Oppervlakte],Inventarisatie[Locatie],$BC6,Inventarisatie[Freq. Ma-Vr],$C6,Inventarisatie[Categorie],I$2)</f>
        <v>0</v>
      </c>
      <c r="J6" s="209">
        <f ca="1">SUMIFS(Inventarisatie[Oppervlakte],Inventarisatie[Locatie],$BC6,Inventarisatie[Freq. Ma-Vr],$C6,Inventarisatie[Categorie],J$2)</f>
        <v>0</v>
      </c>
      <c r="K6" s="529"/>
      <c r="L6" s="316" t="b">
        <f>IF(_xlfn.XLOOKUP(BC6,Tabel2[Locatiecode],Tabel2[Type locatie],"",0)="vaccin",TRUE,FALSE)</f>
        <v>0</v>
      </c>
      <c r="BB6" s="9">
        <v>4</v>
      </c>
      <c r="BC6" s="9" t="str">
        <v>ALK-ARS</v>
      </c>
      <c r="BD6" s="9" t="str">
        <f t="shared" ca="1" si="0"/>
        <v/>
      </c>
    </row>
    <row r="7" spans="1:57" ht="0.2" customHeight="1" x14ac:dyDescent="0.2">
      <c r="A7" s="172" cm="1">
        <f t="array" aca="1" ref="A7" ca="1">_xlfn.IFS(SUM(D7:J7)&gt;0,1,OFFSET($K7,-MOD(BB7+4,5),0)=0,2,TRUE,0)</f>
        <v>0</v>
      </c>
      <c r="B7" s="527"/>
      <c r="C7" s="208">
        <v>52</v>
      </c>
      <c r="D7" s="194">
        <f ca="1">SUMIFS(Inventarisatie[Oppervlakte],Inventarisatie[Locatie],$BC7,Inventarisatie[Freq. Ma-Vr],$C7,Inventarisatie[Categorie],D$2)</f>
        <v>0</v>
      </c>
      <c r="E7" s="192">
        <f ca="1">SUMIFS(Inventarisatie[Oppervlakte],Inventarisatie[Locatie],$BC7,Inventarisatie[Freq. Ma-Vr],$C7,Inventarisatie[Categorie],E$2)</f>
        <v>0</v>
      </c>
      <c r="F7" s="192">
        <f ca="1">SUMIFS(Inventarisatie[Oppervlakte],Inventarisatie[Locatie],$BC7,Inventarisatie[Freq. Ma-Vr],$C7,Inventarisatie[Categorie],F$2)</f>
        <v>0</v>
      </c>
      <c r="G7" s="192">
        <f ca="1">SUMIFS(Inventarisatie[Oppervlakte],Inventarisatie[Locatie],$BC7,Inventarisatie[Freq. Ma-Vr],$C7,Inventarisatie[Categorie],G$2)</f>
        <v>0</v>
      </c>
      <c r="H7" s="192">
        <f ca="1">SUMIFS(Inventarisatie[Oppervlakte],Inventarisatie[Locatie],$BC7,Inventarisatie[Freq. Ma-Vr],$C7,Inventarisatie[Categorie],H$2)</f>
        <v>0</v>
      </c>
      <c r="I7" s="472">
        <f ca="1">SUMIFS(Inventarisatie[Oppervlakte],Inventarisatie[Locatie],$BC7,Inventarisatie[Freq. Ma-Vr],$C7,Inventarisatie[Categorie],I$2)</f>
        <v>0</v>
      </c>
      <c r="J7" s="209">
        <f ca="1">SUMIFS(Inventarisatie[Oppervlakte],Inventarisatie[Locatie],$BC7,Inventarisatie[Freq. Ma-Vr],$C7,Inventarisatie[Categorie],J$2)</f>
        <v>0</v>
      </c>
      <c r="K7" s="529"/>
      <c r="L7" s="316" t="b">
        <f>IF(_xlfn.XLOOKUP(BC7,Tabel2[Locatiecode],Tabel2[Type locatie],"",0)="vaccin",TRUE,FALSE)</f>
        <v>0</v>
      </c>
      <c r="BB7" s="9">
        <v>5</v>
      </c>
      <c r="BC7" s="9" t="str">
        <v>ALK-ARS</v>
      </c>
      <c r="BD7" s="9" t="str">
        <f t="shared" ca="1" si="0"/>
        <v/>
      </c>
    </row>
    <row r="8" spans="1:57" ht="0.2" customHeight="1" x14ac:dyDescent="0.2">
      <c r="A8" s="172" cm="1">
        <f t="array" aca="1" ref="A8" ca="1">_xlfn.IFS(SUM(D8:J8)&gt;0,1,OFFSET($K8,-MOD(BB8+4,5),0)=0,2,TRUE,0)</f>
        <v>2</v>
      </c>
      <c r="B8" s="527"/>
      <c r="C8" s="208">
        <v>4</v>
      </c>
      <c r="D8" s="194">
        <f ca="1">SUMIFS(Inventarisatie[Oppervlakte],Inventarisatie[Locatie],$BC8,Inventarisatie[Freq. Ma-Vr],$C8,Inventarisatie[Categorie],D$2)</f>
        <v>0</v>
      </c>
      <c r="E8" s="192">
        <f ca="1">SUMIFS(Inventarisatie[Oppervlakte],Inventarisatie[Locatie],$BC8,Inventarisatie[Freq. Ma-Vr],$C8,Inventarisatie[Categorie],E$2)</f>
        <v>0</v>
      </c>
      <c r="F8" s="192">
        <f ca="1">SUMIFS(Inventarisatie[Oppervlakte],Inventarisatie[Locatie],$BC8,Inventarisatie[Freq. Ma-Vr],$C8,Inventarisatie[Categorie],F$2)</f>
        <v>0</v>
      </c>
      <c r="G8" s="192">
        <f ca="1">SUMIFS(Inventarisatie[Oppervlakte],Inventarisatie[Locatie],$BC8,Inventarisatie[Freq. Ma-Vr],$C8,Inventarisatie[Categorie],G$2)</f>
        <v>0</v>
      </c>
      <c r="H8" s="192">
        <f ca="1">SUMIFS(Inventarisatie[Oppervlakte],Inventarisatie[Locatie],$BC8,Inventarisatie[Freq. Ma-Vr],$C8,Inventarisatie[Categorie],H$2)</f>
        <v>0</v>
      </c>
      <c r="I8" s="472">
        <f ca="1">SUMIFS(Inventarisatie[Oppervlakte],Inventarisatie[Locatie],$BC8,Inventarisatie[Freq. Ma-Vr],$C8,Inventarisatie[Categorie],I$2)</f>
        <v>0</v>
      </c>
      <c r="J8" s="209">
        <f ca="1">SUMIFS(Inventarisatie[Oppervlakte],Inventarisatie[Locatie],$BC8,Inventarisatie[Freq. Ma-Vr],$C8,Inventarisatie[Categorie],J$2)</f>
        <v>0</v>
      </c>
      <c r="K8" s="529"/>
      <c r="L8" s="316" t="b">
        <f>IF(_xlfn.XLOOKUP(BC8,Tabel2[Locatiecode],Tabel2[Type locatie],"",0)="vaccin",TRUE,FALSE)</f>
        <v>0</v>
      </c>
      <c r="N8" s="202"/>
      <c r="O8" s="202"/>
      <c r="P8" s="202"/>
      <c r="Q8" s="202"/>
      <c r="BB8" s="9">
        <v>6</v>
      </c>
      <c r="BC8" s="9" t="str">
        <v>ALK-ARS</v>
      </c>
      <c r="BD8" s="9" t="str">
        <f t="shared" ca="1" si="0"/>
        <v/>
      </c>
    </row>
    <row r="9" spans="1:57" ht="0.2" customHeight="1" x14ac:dyDescent="0.2">
      <c r="A9" s="172" cm="1">
        <f t="array" aca="1" ref="A9" ca="1">_xlfn.IFS(SUM(D9:J9)&gt;0,1,OFFSET($K9,-MOD(BB9+4,5),0)=0,2,TRUE,0)</f>
        <v>2</v>
      </c>
      <c r="B9" s="527" t="str">
        <f>BC9</f>
        <v>ALK-DIK</v>
      </c>
      <c r="C9" s="208">
        <v>255</v>
      </c>
      <c r="D9" s="194">
        <f ca="1">SUMIFS(Inventarisatie[Oppervlakte],Inventarisatie[Locatie],$BC9,Inventarisatie[Freq. Ma-Vr],$C9,Inventarisatie[Categorie],D$2)</f>
        <v>0</v>
      </c>
      <c r="E9" s="192">
        <f ca="1">SUMIFS(Inventarisatie[Oppervlakte],Inventarisatie[Locatie],$BC9,Inventarisatie[Freq. Ma-Vr],$C9,Inventarisatie[Categorie],E$2)</f>
        <v>0</v>
      </c>
      <c r="F9" s="192">
        <f ca="1">SUMIFS(Inventarisatie[Oppervlakte],Inventarisatie[Locatie],$BC9,Inventarisatie[Freq. Ma-Vr],$C9,Inventarisatie[Categorie],F$2)</f>
        <v>0</v>
      </c>
      <c r="G9" s="192">
        <f ca="1">SUMIFS(Inventarisatie[Oppervlakte],Inventarisatie[Locatie],$BC9,Inventarisatie[Freq. Ma-Vr],$C9,Inventarisatie[Categorie],G$2)</f>
        <v>0</v>
      </c>
      <c r="H9" s="192">
        <f ca="1">SUMIFS(Inventarisatie[Oppervlakte],Inventarisatie[Locatie],$BC9,Inventarisatie[Freq. Ma-Vr],$C9,Inventarisatie[Categorie],H$2)</f>
        <v>0</v>
      </c>
      <c r="I9" s="472">
        <f ca="1">SUMIFS(Inventarisatie[Oppervlakte],Inventarisatie[Locatie],$BC9,Inventarisatie[Freq. Ma-Vr],$C9,Inventarisatie[Categorie],I$2)</f>
        <v>0</v>
      </c>
      <c r="J9" s="472">
        <f ca="1">SUMIFS(Inventarisatie[Oppervlakte],Inventarisatie[Locatie],$BC9,Inventarisatie[Freq. Ma-Vr],$C9,Inventarisatie[Categorie],J$2)</f>
        <v>0</v>
      </c>
      <c r="K9" s="528">
        <f ca="1">SUM(D9:J14)</f>
        <v>83.5</v>
      </c>
      <c r="L9" s="316" t="b">
        <f>IF(_xlfn.XLOOKUP(BC9,Tabel2[Locatiecode],Tabel2[Type locatie],"",0)="vaccin",TRUE,FALSE)</f>
        <v>0</v>
      </c>
      <c r="BB9" s="9">
        <v>7</v>
      </c>
      <c r="BC9" s="9" t="str">
        <v>ALK-DIK</v>
      </c>
      <c r="BD9" s="9" t="str">
        <f t="shared" ca="1" si="0"/>
        <v/>
      </c>
    </row>
    <row r="10" spans="1:57" ht="15" customHeight="1" x14ac:dyDescent="0.2">
      <c r="A10" s="172" cm="1">
        <f t="array" aca="1" ref="A10" ca="1">_xlfn.IFS(SUM(D10:J10)&gt;0,1,OFFSET($K10,-MOD(BB10+4,5),0)=0,2,TRUE,0)</f>
        <v>1</v>
      </c>
      <c r="B10" s="527"/>
      <c r="C10" s="208">
        <v>204</v>
      </c>
      <c r="D10" s="194">
        <f ca="1">SUMIFS(Inventarisatie[Oppervlakte],Inventarisatie[Locatie],$BC10,Inventarisatie[Freq. Ma-Vr],$C10,Inventarisatie[Categorie],D$2)</f>
        <v>0</v>
      </c>
      <c r="E10" s="192">
        <f ca="1">SUMIFS(Inventarisatie[Oppervlakte],Inventarisatie[Locatie],$BC10,Inventarisatie[Freq. Ma-Vr],$C10,Inventarisatie[Categorie],E$2)</f>
        <v>57</v>
      </c>
      <c r="F10" s="192">
        <f ca="1">SUMIFS(Inventarisatie[Oppervlakte],Inventarisatie[Locatie],$BC10,Inventarisatie[Freq. Ma-Vr],$C10,Inventarisatie[Categorie],F$2)</f>
        <v>21.200000000000003</v>
      </c>
      <c r="G10" s="192">
        <f ca="1">SUMIFS(Inventarisatie[Oppervlakte],Inventarisatie[Locatie],$BC10,Inventarisatie[Freq. Ma-Vr],$C10,Inventarisatie[Categorie],G$2)</f>
        <v>3.2</v>
      </c>
      <c r="H10" s="192">
        <f ca="1">SUMIFS(Inventarisatie[Oppervlakte],Inventarisatie[Locatie],$BC10,Inventarisatie[Freq. Ma-Vr],$C10,Inventarisatie[Categorie],H$2)</f>
        <v>2.1</v>
      </c>
      <c r="I10" s="472">
        <f ca="1">SUMIFS(Inventarisatie[Oppervlakte],Inventarisatie[Locatie],$BC10,Inventarisatie[Freq. Ma-Vr],$C10,Inventarisatie[Categorie],I$2)</f>
        <v>0</v>
      </c>
      <c r="J10" s="472">
        <f ca="1">SUMIFS(Inventarisatie[Oppervlakte],Inventarisatie[Locatie],$BC10,Inventarisatie[Freq. Ma-Vr],$C10,Inventarisatie[Categorie],J$2)</f>
        <v>0</v>
      </c>
      <c r="K10" s="528"/>
      <c r="L10" s="316" t="b">
        <f>IF(_xlfn.XLOOKUP(BC10,Tabel2[Locatiecode],Tabel2[Type locatie],"",0)="vaccin",TRUE,FALSE)</f>
        <v>0</v>
      </c>
      <c r="BB10" s="9">
        <v>8</v>
      </c>
      <c r="BC10" s="9" t="str">
        <v>ALK-DIK</v>
      </c>
      <c r="BD10" s="9">
        <f t="shared" ca="1" si="0"/>
        <v>204</v>
      </c>
    </row>
    <row r="11" spans="1:57" ht="0.2" customHeight="1" x14ac:dyDescent="0.2">
      <c r="A11" s="172" cm="1">
        <f t="array" aca="1" ref="A11" ca="1">_xlfn.IFS(SUM(D11:J11)&gt;0,1,OFFSET($K11,-MOD(BB11+4,5),0)=0,2,TRUE,0)</f>
        <v>2</v>
      </c>
      <c r="B11" s="527"/>
      <c r="C11" s="208">
        <v>156</v>
      </c>
      <c r="D11" s="194">
        <f ca="1">SUMIFS(Inventarisatie[Oppervlakte],Inventarisatie[Locatie],$BC11,Inventarisatie[Freq. Ma-Vr],$C11,Inventarisatie[Categorie],D$2)</f>
        <v>0</v>
      </c>
      <c r="E11" s="192">
        <f ca="1">SUMIFS(Inventarisatie[Oppervlakte],Inventarisatie[Locatie],$BC11,Inventarisatie[Freq. Ma-Vr],$C11,Inventarisatie[Categorie],E$2)</f>
        <v>0</v>
      </c>
      <c r="F11" s="192">
        <f ca="1">SUMIFS(Inventarisatie[Oppervlakte],Inventarisatie[Locatie],$BC11,Inventarisatie[Freq. Ma-Vr],$C11,Inventarisatie[Categorie],F$2)</f>
        <v>0</v>
      </c>
      <c r="G11" s="192">
        <f ca="1">SUMIFS(Inventarisatie[Oppervlakte],Inventarisatie[Locatie],$BC11,Inventarisatie[Freq. Ma-Vr],$C11,Inventarisatie[Categorie],G$2)</f>
        <v>0</v>
      </c>
      <c r="H11" s="192">
        <f ca="1">SUMIFS(Inventarisatie[Oppervlakte],Inventarisatie[Locatie],$BC11,Inventarisatie[Freq. Ma-Vr],$C11,Inventarisatie[Categorie],H$2)</f>
        <v>0</v>
      </c>
      <c r="I11" s="472">
        <f ca="1">SUMIFS(Inventarisatie[Oppervlakte],Inventarisatie[Locatie],$BC11,Inventarisatie[Freq. Ma-Vr],$C11,Inventarisatie[Categorie],I$2)</f>
        <v>0</v>
      </c>
      <c r="J11" s="472">
        <f ca="1">SUMIFS(Inventarisatie[Oppervlakte],Inventarisatie[Locatie],$BC11,Inventarisatie[Freq. Ma-Vr],$C11,Inventarisatie[Categorie],J$2)</f>
        <v>0</v>
      </c>
      <c r="K11" s="529"/>
      <c r="L11" s="316" t="b">
        <f>IF(_xlfn.XLOOKUP(BC11,Tabel2[Locatiecode],Tabel2[Type locatie],"",0)="vaccin",TRUE,FALSE)</f>
        <v>0</v>
      </c>
      <c r="BB11" s="9">
        <v>9</v>
      </c>
      <c r="BC11" s="9" t="str">
        <v>ALK-DIK</v>
      </c>
      <c r="BD11" s="9" t="str">
        <f t="shared" ca="1" si="0"/>
        <v/>
      </c>
    </row>
    <row r="12" spans="1:57" ht="0.2" customHeight="1" x14ac:dyDescent="0.2">
      <c r="A12" s="172" cm="1">
        <f t="array" aca="1" ref="A12" ca="1">_xlfn.IFS(SUM(D12:J12)&gt;0,1,OFFSET($K12,-MOD(BB12+4,5),0)=0,2,TRUE,0)</f>
        <v>2</v>
      </c>
      <c r="B12" s="527"/>
      <c r="C12" s="208">
        <v>104</v>
      </c>
      <c r="D12" s="194">
        <f ca="1">SUMIFS(Inventarisatie[Oppervlakte],Inventarisatie[Locatie],$BC12,Inventarisatie[Freq. Ma-Vr],$C12,Inventarisatie[Categorie],D$2)</f>
        <v>0</v>
      </c>
      <c r="E12" s="192">
        <f ca="1">SUMIFS(Inventarisatie[Oppervlakte],Inventarisatie[Locatie],$BC12,Inventarisatie[Freq. Ma-Vr],$C12,Inventarisatie[Categorie],E$2)</f>
        <v>0</v>
      </c>
      <c r="F12" s="192">
        <f ca="1">SUMIFS(Inventarisatie[Oppervlakte],Inventarisatie[Locatie],$BC12,Inventarisatie[Freq. Ma-Vr],$C12,Inventarisatie[Categorie],F$2)</f>
        <v>0</v>
      </c>
      <c r="G12" s="192">
        <f ca="1">SUMIFS(Inventarisatie[Oppervlakte],Inventarisatie[Locatie],$BC12,Inventarisatie[Freq. Ma-Vr],$C12,Inventarisatie[Categorie],G$2)</f>
        <v>0</v>
      </c>
      <c r="H12" s="192">
        <f ca="1">SUMIFS(Inventarisatie[Oppervlakte],Inventarisatie[Locatie],$BC12,Inventarisatie[Freq. Ma-Vr],$C12,Inventarisatie[Categorie],H$2)</f>
        <v>0</v>
      </c>
      <c r="I12" s="472">
        <f ca="1">SUMIFS(Inventarisatie[Oppervlakte],Inventarisatie[Locatie],$BC12,Inventarisatie[Freq. Ma-Vr],$C12,Inventarisatie[Categorie],I$2)</f>
        <v>0</v>
      </c>
      <c r="J12" s="472">
        <f ca="1">SUMIFS(Inventarisatie[Oppervlakte],Inventarisatie[Locatie],$BC12,Inventarisatie[Freq. Ma-Vr],$C12,Inventarisatie[Categorie],J$2)</f>
        <v>0</v>
      </c>
      <c r="K12" s="529"/>
      <c r="L12" s="316" t="b">
        <f>IF(_xlfn.XLOOKUP(BC12,Tabel2[Locatiecode],Tabel2[Type locatie],"",0)="vaccin",TRUE,FALSE)</f>
        <v>0</v>
      </c>
      <c r="M12" s="202"/>
      <c r="N12" s="202"/>
      <c r="O12" s="202"/>
      <c r="P12" s="202"/>
      <c r="BB12" s="9">
        <v>10</v>
      </c>
      <c r="BC12" s="9" t="str">
        <v>ALK-DIK</v>
      </c>
      <c r="BD12" s="9" t="str">
        <f t="shared" ca="1" si="0"/>
        <v/>
      </c>
    </row>
    <row r="13" spans="1:57" ht="0.2" customHeight="1" x14ac:dyDescent="0.2">
      <c r="A13" s="172" cm="1">
        <f t="array" aca="1" ref="A13" ca="1">_xlfn.IFS(SUM(D13:J13)&gt;0,1,OFFSET($K13,-MOD(BB13+4,5),0)=0,2,TRUE,0)</f>
        <v>2</v>
      </c>
      <c r="B13" s="527"/>
      <c r="C13" s="208">
        <v>52</v>
      </c>
      <c r="D13" s="194">
        <f ca="1">SUMIFS(Inventarisatie[Oppervlakte],Inventarisatie[Locatie],$BC13,Inventarisatie[Freq. Ma-Vr],$C13,Inventarisatie[Categorie],D$2)</f>
        <v>0</v>
      </c>
      <c r="E13" s="192">
        <f ca="1">SUMIFS(Inventarisatie[Oppervlakte],Inventarisatie[Locatie],$BC13,Inventarisatie[Freq. Ma-Vr],$C13,Inventarisatie[Categorie],E$2)</f>
        <v>0</v>
      </c>
      <c r="F13" s="192">
        <f ca="1">SUMIFS(Inventarisatie[Oppervlakte],Inventarisatie[Locatie],$BC13,Inventarisatie[Freq. Ma-Vr],$C13,Inventarisatie[Categorie],F$2)</f>
        <v>0</v>
      </c>
      <c r="G13" s="192">
        <f ca="1">SUMIFS(Inventarisatie[Oppervlakte],Inventarisatie[Locatie],$BC13,Inventarisatie[Freq. Ma-Vr],$C13,Inventarisatie[Categorie],G$2)</f>
        <v>0</v>
      </c>
      <c r="H13" s="192">
        <f ca="1">SUMIFS(Inventarisatie[Oppervlakte],Inventarisatie[Locatie],$BC13,Inventarisatie[Freq. Ma-Vr],$C13,Inventarisatie[Categorie],H$2)</f>
        <v>0</v>
      </c>
      <c r="I13" s="472">
        <f ca="1">SUMIFS(Inventarisatie[Oppervlakte],Inventarisatie[Locatie],$BC13,Inventarisatie[Freq. Ma-Vr],$C13,Inventarisatie[Categorie],I$2)</f>
        <v>0</v>
      </c>
      <c r="J13" s="472">
        <f ca="1">SUMIFS(Inventarisatie[Oppervlakte],Inventarisatie[Locatie],$BC13,Inventarisatie[Freq. Ma-Vr],$C13,Inventarisatie[Categorie],J$2)</f>
        <v>0</v>
      </c>
      <c r="K13" s="529"/>
      <c r="L13" s="316" t="b">
        <f>IF(_xlfn.XLOOKUP(BC13,Tabel2[Locatiecode],Tabel2[Type locatie],"",0)="vaccin",TRUE,FALSE)</f>
        <v>0</v>
      </c>
      <c r="BB13" s="9">
        <v>11</v>
      </c>
      <c r="BC13" s="9" t="str">
        <v>ALK-DIK</v>
      </c>
      <c r="BD13" s="9" t="str">
        <f t="shared" ca="1" si="0"/>
        <v/>
      </c>
    </row>
    <row r="14" spans="1:57" ht="0.2" customHeight="1" x14ac:dyDescent="0.2">
      <c r="A14" s="172" cm="1">
        <f t="array" aca="1" ref="A14" ca="1">_xlfn.IFS(SUM(D14:J14)&gt;0,1,OFFSET($K14,-MOD(BB14+4,5),0)=0,2,TRUE,0)</f>
        <v>2</v>
      </c>
      <c r="B14" s="527"/>
      <c r="C14" s="208">
        <v>4</v>
      </c>
      <c r="D14" s="194">
        <f ca="1">SUMIFS(Inventarisatie[Oppervlakte],Inventarisatie[Locatie],$BC14,Inventarisatie[Freq. Ma-Vr],$C14,Inventarisatie[Categorie],D$2)</f>
        <v>0</v>
      </c>
      <c r="E14" s="192">
        <f ca="1">SUMIFS(Inventarisatie[Oppervlakte],Inventarisatie[Locatie],$BC14,Inventarisatie[Freq. Ma-Vr],$C14,Inventarisatie[Categorie],E$2)</f>
        <v>0</v>
      </c>
      <c r="F14" s="192">
        <f ca="1">SUMIFS(Inventarisatie[Oppervlakte],Inventarisatie[Locatie],$BC14,Inventarisatie[Freq. Ma-Vr],$C14,Inventarisatie[Categorie],F$2)</f>
        <v>0</v>
      </c>
      <c r="G14" s="192">
        <f ca="1">SUMIFS(Inventarisatie[Oppervlakte],Inventarisatie[Locatie],$BC14,Inventarisatie[Freq. Ma-Vr],$C14,Inventarisatie[Categorie],G$2)</f>
        <v>0</v>
      </c>
      <c r="H14" s="192">
        <f ca="1">SUMIFS(Inventarisatie[Oppervlakte],Inventarisatie[Locatie],$BC14,Inventarisatie[Freq. Ma-Vr],$C14,Inventarisatie[Categorie],H$2)</f>
        <v>0</v>
      </c>
      <c r="I14" s="472">
        <f ca="1">SUMIFS(Inventarisatie[Oppervlakte],Inventarisatie[Locatie],$BC14,Inventarisatie[Freq. Ma-Vr],$C14,Inventarisatie[Categorie],I$2)</f>
        <v>0</v>
      </c>
      <c r="J14" s="472">
        <f ca="1">SUMIFS(Inventarisatie[Oppervlakte],Inventarisatie[Locatie],$BC14,Inventarisatie[Freq. Ma-Vr],$C14,Inventarisatie[Categorie],J$2)</f>
        <v>0</v>
      </c>
      <c r="K14" s="529"/>
      <c r="L14" s="316" t="b">
        <f>IF(_xlfn.XLOOKUP(BC14,Tabel2[Locatiecode],Tabel2[Type locatie],"",0)="vaccin",TRUE,FALSE)</f>
        <v>0</v>
      </c>
      <c r="BB14" s="9">
        <v>12</v>
      </c>
      <c r="BC14" s="9" t="str">
        <v>ALK-DIK</v>
      </c>
      <c r="BD14" s="9" t="str">
        <f t="shared" ca="1" si="0"/>
        <v/>
      </c>
    </row>
    <row r="15" spans="1:57" ht="15" customHeight="1" x14ac:dyDescent="0.2">
      <c r="A15" s="172" cm="1">
        <f t="array" aca="1" ref="A15" ca="1">_xlfn.IFS(SUM(D15:J15)&gt;0,1,OFFSET($K15,-MOD(BB15+4,5),0)=0,2,TRUE,0)</f>
        <v>1</v>
      </c>
      <c r="B15" s="527" t="str">
        <f>BC15</f>
        <v>ALK-H18</v>
      </c>
      <c r="C15" s="208">
        <v>255</v>
      </c>
      <c r="D15" s="194">
        <f ca="1">SUMIFS(Inventarisatie[Oppervlakte],Inventarisatie[Locatie],$BC15,Inventarisatie[Freq. Ma-Vr],$C15,Inventarisatie[Categorie],D$2)</f>
        <v>0</v>
      </c>
      <c r="E15" s="192">
        <f ca="1">SUMIFS(Inventarisatie[Oppervlakte],Inventarisatie[Locatie],$BC15,Inventarisatie[Freq. Ma-Vr],$C15,Inventarisatie[Categorie],E$2)</f>
        <v>328.2</v>
      </c>
      <c r="F15" s="192">
        <f ca="1">SUMIFS(Inventarisatie[Oppervlakte],Inventarisatie[Locatie],$BC15,Inventarisatie[Freq. Ma-Vr],$C15,Inventarisatie[Categorie],F$2)</f>
        <v>81.400000000000006</v>
      </c>
      <c r="G15" s="192">
        <f ca="1">SUMIFS(Inventarisatie[Oppervlakte],Inventarisatie[Locatie],$BC15,Inventarisatie[Freq. Ma-Vr],$C15,Inventarisatie[Categorie],G$2)</f>
        <v>94.3</v>
      </c>
      <c r="H15" s="192">
        <f ca="1">SUMIFS(Inventarisatie[Oppervlakte],Inventarisatie[Locatie],$BC15,Inventarisatie[Freq. Ma-Vr],$C15,Inventarisatie[Categorie],H$2)</f>
        <v>12.899999999999999</v>
      </c>
      <c r="I15" s="472">
        <f ca="1">SUMIFS(Inventarisatie[Oppervlakte],Inventarisatie[Locatie],$BC15,Inventarisatie[Freq. Ma-Vr],$C15,Inventarisatie[Categorie],I$2)</f>
        <v>171.10000000000002</v>
      </c>
      <c r="J15" s="472">
        <f ca="1">SUMIFS(Inventarisatie[Oppervlakte],Inventarisatie[Locatie],$BC15,Inventarisatie[Freq. Ma-Vr],$C15,Inventarisatie[Categorie],J$2)</f>
        <v>0</v>
      </c>
      <c r="K15" s="528">
        <f ca="1">SUM(D15:J20)</f>
        <v>687.90000000000009</v>
      </c>
      <c r="L15" s="316" t="b">
        <f>IF(_xlfn.XLOOKUP(BC15,Tabel2[Locatiecode],Tabel2[Type locatie],"",0)="vaccin",TRUE,FALSE)</f>
        <v>0</v>
      </c>
      <c r="BB15" s="9">
        <v>13</v>
      </c>
      <c r="BC15" s="9" t="str">
        <v>ALK-H18</v>
      </c>
      <c r="BD15" s="9">
        <f t="shared" ca="1" si="0"/>
        <v>255</v>
      </c>
    </row>
    <row r="16" spans="1:57" ht="0.2" customHeight="1" x14ac:dyDescent="0.2">
      <c r="A16" s="172" cm="1">
        <f t="array" aca="1" ref="A16" ca="1">_xlfn.IFS(SUM(D16:J16)&gt;0,1,OFFSET($K16,-MOD(BB16+4,5),0)=0,2,TRUE,0)</f>
        <v>2</v>
      </c>
      <c r="B16" s="527"/>
      <c r="C16" s="208">
        <v>204</v>
      </c>
      <c r="D16" s="194">
        <f ca="1">SUMIFS(Inventarisatie[Oppervlakte],Inventarisatie[Locatie],$BC16,Inventarisatie[Freq. Ma-Vr],$C16,Inventarisatie[Categorie],D$2)</f>
        <v>0</v>
      </c>
      <c r="E16" s="192">
        <f ca="1">SUMIFS(Inventarisatie[Oppervlakte],Inventarisatie[Locatie],$BC16,Inventarisatie[Freq. Ma-Vr],$C16,Inventarisatie[Categorie],E$2)</f>
        <v>0</v>
      </c>
      <c r="F16" s="192">
        <f ca="1">SUMIFS(Inventarisatie[Oppervlakte],Inventarisatie[Locatie],$BC16,Inventarisatie[Freq. Ma-Vr],$C16,Inventarisatie[Categorie],F$2)</f>
        <v>0</v>
      </c>
      <c r="G16" s="192">
        <f ca="1">SUMIFS(Inventarisatie[Oppervlakte],Inventarisatie[Locatie],$BC16,Inventarisatie[Freq. Ma-Vr],$C16,Inventarisatie[Categorie],G$2)</f>
        <v>0</v>
      </c>
      <c r="H16" s="192">
        <f ca="1">SUMIFS(Inventarisatie[Oppervlakte],Inventarisatie[Locatie],$BC16,Inventarisatie[Freq. Ma-Vr],$C16,Inventarisatie[Categorie],H$2)</f>
        <v>0</v>
      </c>
      <c r="I16" s="472">
        <f ca="1">SUMIFS(Inventarisatie[Oppervlakte],Inventarisatie[Locatie],$BC16,Inventarisatie[Freq. Ma-Vr],$C16,Inventarisatie[Categorie],I$2)</f>
        <v>0</v>
      </c>
      <c r="J16" s="472">
        <f ca="1">SUMIFS(Inventarisatie[Oppervlakte],Inventarisatie[Locatie],$BC16,Inventarisatie[Freq. Ma-Vr],$C16,Inventarisatie[Categorie],J$2)</f>
        <v>0</v>
      </c>
      <c r="K16" s="528"/>
      <c r="L16" s="316" t="b">
        <f>IF(_xlfn.XLOOKUP(BC16,Tabel2[Locatiecode],Tabel2[Type locatie],"",0)="vaccin",TRUE,FALSE)</f>
        <v>0</v>
      </c>
      <c r="BB16" s="9">
        <v>14</v>
      </c>
      <c r="BC16" s="9" t="str">
        <v>ALK-H18</v>
      </c>
      <c r="BD16" s="9" t="str">
        <f t="shared" ca="1" si="0"/>
        <v/>
      </c>
    </row>
    <row r="17" spans="1:56" ht="0.2" customHeight="1" x14ac:dyDescent="0.2">
      <c r="A17" s="172" cm="1">
        <f t="array" aca="1" ref="A17" ca="1">_xlfn.IFS(SUM(D17:J17)&gt;0,1,OFFSET($K17,-MOD(BB17+4,5),0)=0,2,TRUE,0)</f>
        <v>2</v>
      </c>
      <c r="B17" s="527"/>
      <c r="C17" s="208">
        <v>156</v>
      </c>
      <c r="D17" s="194">
        <f ca="1">SUMIFS(Inventarisatie[Oppervlakte],Inventarisatie[Locatie],$BC17,Inventarisatie[Freq. Ma-Vr],$C17,Inventarisatie[Categorie],D$2)</f>
        <v>0</v>
      </c>
      <c r="E17" s="192">
        <f ca="1">SUMIFS(Inventarisatie[Oppervlakte],Inventarisatie[Locatie],$BC17,Inventarisatie[Freq. Ma-Vr],$C17,Inventarisatie[Categorie],E$2)</f>
        <v>0</v>
      </c>
      <c r="F17" s="192">
        <f ca="1">SUMIFS(Inventarisatie[Oppervlakte],Inventarisatie[Locatie],$BC17,Inventarisatie[Freq. Ma-Vr],$C17,Inventarisatie[Categorie],F$2)</f>
        <v>0</v>
      </c>
      <c r="G17" s="192">
        <f ca="1">SUMIFS(Inventarisatie[Oppervlakte],Inventarisatie[Locatie],$BC17,Inventarisatie[Freq. Ma-Vr],$C17,Inventarisatie[Categorie],G$2)</f>
        <v>0</v>
      </c>
      <c r="H17" s="192">
        <f ca="1">SUMIFS(Inventarisatie[Oppervlakte],Inventarisatie[Locatie],$BC17,Inventarisatie[Freq. Ma-Vr],$C17,Inventarisatie[Categorie],H$2)</f>
        <v>0</v>
      </c>
      <c r="I17" s="472">
        <f ca="1">SUMIFS(Inventarisatie[Oppervlakte],Inventarisatie[Locatie],$BC17,Inventarisatie[Freq. Ma-Vr],$C17,Inventarisatie[Categorie],I$2)</f>
        <v>0</v>
      </c>
      <c r="J17" s="472">
        <f ca="1">SUMIFS(Inventarisatie[Oppervlakte],Inventarisatie[Locatie],$BC17,Inventarisatie[Freq. Ma-Vr],$C17,Inventarisatie[Categorie],J$2)</f>
        <v>0</v>
      </c>
      <c r="K17" s="529"/>
      <c r="L17" s="316" t="b">
        <f>IF(_xlfn.XLOOKUP(BC17,Tabel2[Locatiecode],Tabel2[Type locatie],"",0)="vaccin",TRUE,FALSE)</f>
        <v>0</v>
      </c>
      <c r="M17" s="202"/>
      <c r="N17" s="202"/>
      <c r="O17" s="202"/>
      <c r="P17" s="202"/>
      <c r="BB17" s="9">
        <v>15</v>
      </c>
      <c r="BC17" s="9" t="str">
        <v>ALK-H18</v>
      </c>
      <c r="BD17" s="9" t="str">
        <f t="shared" ca="1" si="0"/>
        <v/>
      </c>
    </row>
    <row r="18" spans="1:56" ht="0.2" customHeight="1" x14ac:dyDescent="0.2">
      <c r="A18" s="172" cm="1">
        <f t="array" aca="1" ref="A18" ca="1">_xlfn.IFS(SUM(D18:J18)&gt;0,1,OFFSET($K18,-MOD(BB18+4,5),0)=0,2,TRUE,0)</f>
        <v>2</v>
      </c>
      <c r="B18" s="527"/>
      <c r="C18" s="208">
        <v>104</v>
      </c>
      <c r="D18" s="194">
        <f ca="1">SUMIFS(Inventarisatie[Oppervlakte],Inventarisatie[Locatie],$BC18,Inventarisatie[Freq. Ma-Vr],$C18,Inventarisatie[Categorie],D$2)</f>
        <v>0</v>
      </c>
      <c r="E18" s="192">
        <f ca="1">SUMIFS(Inventarisatie[Oppervlakte],Inventarisatie[Locatie],$BC18,Inventarisatie[Freq. Ma-Vr],$C18,Inventarisatie[Categorie],E$2)</f>
        <v>0</v>
      </c>
      <c r="F18" s="192">
        <f ca="1">SUMIFS(Inventarisatie[Oppervlakte],Inventarisatie[Locatie],$BC18,Inventarisatie[Freq. Ma-Vr],$C18,Inventarisatie[Categorie],F$2)</f>
        <v>0</v>
      </c>
      <c r="G18" s="192">
        <f ca="1">SUMIFS(Inventarisatie[Oppervlakte],Inventarisatie[Locatie],$BC18,Inventarisatie[Freq. Ma-Vr],$C18,Inventarisatie[Categorie],G$2)</f>
        <v>0</v>
      </c>
      <c r="H18" s="192">
        <f ca="1">SUMIFS(Inventarisatie[Oppervlakte],Inventarisatie[Locatie],$BC18,Inventarisatie[Freq. Ma-Vr],$C18,Inventarisatie[Categorie],H$2)</f>
        <v>0</v>
      </c>
      <c r="I18" s="472">
        <f ca="1">SUMIFS(Inventarisatie[Oppervlakte],Inventarisatie[Locatie],$BC18,Inventarisatie[Freq. Ma-Vr],$C18,Inventarisatie[Categorie],I$2)</f>
        <v>0</v>
      </c>
      <c r="J18" s="472">
        <f ca="1">SUMIFS(Inventarisatie[Oppervlakte],Inventarisatie[Locatie],$BC18,Inventarisatie[Freq. Ma-Vr],$C18,Inventarisatie[Categorie],J$2)</f>
        <v>0</v>
      </c>
      <c r="K18" s="529"/>
      <c r="L18" s="316" t="b">
        <f>IF(_xlfn.XLOOKUP(BC18,Tabel2[Locatiecode],Tabel2[Type locatie],"",0)="vaccin",TRUE,FALSE)</f>
        <v>0</v>
      </c>
      <c r="BB18" s="9">
        <v>16</v>
      </c>
      <c r="BC18" s="9" t="str">
        <v>ALK-H18</v>
      </c>
      <c r="BD18" s="9" t="str">
        <f t="shared" ca="1" si="0"/>
        <v/>
      </c>
    </row>
    <row r="19" spans="1:56" ht="0.2" customHeight="1" x14ac:dyDescent="0.2">
      <c r="A19" s="172" cm="1">
        <f t="array" aca="1" ref="A19" ca="1">_xlfn.IFS(SUM(D19:J19)&gt;0,1,OFFSET($K19,-MOD(BB19+4,5),0)=0,2,TRUE,0)</f>
        <v>2</v>
      </c>
      <c r="B19" s="527"/>
      <c r="C19" s="208">
        <v>52</v>
      </c>
      <c r="D19" s="194">
        <f ca="1">SUMIFS(Inventarisatie[Oppervlakte],Inventarisatie[Locatie],$BC19,Inventarisatie[Freq. Ma-Vr],$C19,Inventarisatie[Categorie],D$2)</f>
        <v>0</v>
      </c>
      <c r="E19" s="192">
        <f ca="1">SUMIFS(Inventarisatie[Oppervlakte],Inventarisatie[Locatie],$BC19,Inventarisatie[Freq. Ma-Vr],$C19,Inventarisatie[Categorie],E$2)</f>
        <v>0</v>
      </c>
      <c r="F19" s="192">
        <f ca="1">SUMIFS(Inventarisatie[Oppervlakte],Inventarisatie[Locatie],$BC19,Inventarisatie[Freq. Ma-Vr],$C19,Inventarisatie[Categorie],F$2)</f>
        <v>0</v>
      </c>
      <c r="G19" s="192">
        <f ca="1">SUMIFS(Inventarisatie[Oppervlakte],Inventarisatie[Locatie],$BC19,Inventarisatie[Freq. Ma-Vr],$C19,Inventarisatie[Categorie],G$2)</f>
        <v>0</v>
      </c>
      <c r="H19" s="192">
        <f ca="1">SUMIFS(Inventarisatie[Oppervlakte],Inventarisatie[Locatie],$BC19,Inventarisatie[Freq. Ma-Vr],$C19,Inventarisatie[Categorie],H$2)</f>
        <v>0</v>
      </c>
      <c r="I19" s="472">
        <f ca="1">SUMIFS(Inventarisatie[Oppervlakte],Inventarisatie[Locatie],$BC19,Inventarisatie[Freq. Ma-Vr],$C19,Inventarisatie[Categorie],I$2)</f>
        <v>0</v>
      </c>
      <c r="J19" s="472">
        <f ca="1">SUMIFS(Inventarisatie[Oppervlakte],Inventarisatie[Locatie],$BC19,Inventarisatie[Freq. Ma-Vr],$C19,Inventarisatie[Categorie],J$2)</f>
        <v>0</v>
      </c>
      <c r="K19" s="529"/>
      <c r="L19" s="316" t="b">
        <f>IF(_xlfn.XLOOKUP(BC19,Tabel2[Locatiecode],Tabel2[Type locatie],"",0)="vaccin",TRUE,FALSE)</f>
        <v>0</v>
      </c>
      <c r="M19" s="202"/>
      <c r="BB19" s="9">
        <v>17</v>
      </c>
      <c r="BC19" s="9" t="str">
        <v>ALK-H18</v>
      </c>
      <c r="BD19" s="9" t="str">
        <f t="shared" ca="1" si="0"/>
        <v/>
      </c>
    </row>
    <row r="20" spans="1:56" ht="0.2" customHeight="1" x14ac:dyDescent="0.2">
      <c r="A20" s="172" cm="1">
        <f t="array" aca="1" ref="A20" ca="1">_xlfn.IFS(SUM(D20:J20)&gt;0,1,OFFSET($K20,-MOD(BB20+4,5),0)=0,2,TRUE,0)</f>
        <v>2</v>
      </c>
      <c r="B20" s="527"/>
      <c r="C20" s="208">
        <v>4</v>
      </c>
      <c r="D20" s="194">
        <f ca="1">SUMIFS(Inventarisatie[Oppervlakte],Inventarisatie[Locatie],$BC20,Inventarisatie[Freq. Ma-Vr],$C20,Inventarisatie[Categorie],D$2)</f>
        <v>0</v>
      </c>
      <c r="E20" s="192">
        <f ca="1">SUMIFS(Inventarisatie[Oppervlakte],Inventarisatie[Locatie],$BC20,Inventarisatie[Freq. Ma-Vr],$C20,Inventarisatie[Categorie],E$2)</f>
        <v>0</v>
      </c>
      <c r="F20" s="192">
        <f ca="1">SUMIFS(Inventarisatie[Oppervlakte],Inventarisatie[Locatie],$BC20,Inventarisatie[Freq. Ma-Vr],$C20,Inventarisatie[Categorie],F$2)</f>
        <v>0</v>
      </c>
      <c r="G20" s="192">
        <f ca="1">SUMIFS(Inventarisatie[Oppervlakte],Inventarisatie[Locatie],$BC20,Inventarisatie[Freq. Ma-Vr],$C20,Inventarisatie[Categorie],G$2)</f>
        <v>0</v>
      </c>
      <c r="H20" s="192">
        <f ca="1">SUMIFS(Inventarisatie[Oppervlakte],Inventarisatie[Locatie],$BC20,Inventarisatie[Freq. Ma-Vr],$C20,Inventarisatie[Categorie],H$2)</f>
        <v>0</v>
      </c>
      <c r="I20" s="472">
        <f ca="1">SUMIFS(Inventarisatie[Oppervlakte],Inventarisatie[Locatie],$BC20,Inventarisatie[Freq. Ma-Vr],$C20,Inventarisatie[Categorie],I$2)</f>
        <v>0</v>
      </c>
      <c r="J20" s="472">
        <f ca="1">SUMIFS(Inventarisatie[Oppervlakte],Inventarisatie[Locatie],$BC20,Inventarisatie[Freq. Ma-Vr],$C20,Inventarisatie[Categorie],J$2)</f>
        <v>0</v>
      </c>
      <c r="K20" s="529"/>
      <c r="L20" s="316" t="b">
        <f>IF(_xlfn.XLOOKUP(BC20,Tabel2[Locatiecode],Tabel2[Type locatie],"",0)="vaccin",TRUE,FALSE)</f>
        <v>0</v>
      </c>
      <c r="M20" s="202"/>
      <c r="N20" s="202"/>
      <c r="O20" s="202"/>
      <c r="P20" s="202"/>
      <c r="Q20" s="202"/>
      <c r="BB20" s="9">
        <v>18</v>
      </c>
      <c r="BC20" s="9" t="str">
        <v>ALK-H18</v>
      </c>
      <c r="BD20" s="9" t="str">
        <f t="shared" ca="1" si="0"/>
        <v/>
      </c>
    </row>
    <row r="21" spans="1:56" ht="15" customHeight="1" x14ac:dyDescent="0.2">
      <c r="A21" s="172" cm="1">
        <f t="array" aca="1" ref="A21" ca="1">_xlfn.IFS(SUM(D21:J21)&gt;0,1,OFFSET($K21,-MOD(BB21+4,5),0)=0,2,TRUE,0)</f>
        <v>1</v>
      </c>
      <c r="B21" s="532" t="str">
        <f>BC21</f>
        <v>ALK-HAW</v>
      </c>
      <c r="C21" s="473">
        <v>255</v>
      </c>
      <c r="D21" s="474">
        <f ca="1">SUMIFS(Inventarisatie[Oppervlakte],Inventarisatie[Locatie],$BC21,Inventarisatie[Freq. Ma-Vr],$C21,Inventarisatie[Categorie],D$2)</f>
        <v>0</v>
      </c>
      <c r="E21" s="475">
        <f ca="1">SUMIFS(Inventarisatie[Oppervlakte],Inventarisatie[Locatie],$BC21,Inventarisatie[Freq. Ma-Vr],$C21,Inventarisatie[Categorie],E$2)</f>
        <v>774.4</v>
      </c>
      <c r="F21" s="475">
        <f ca="1">SUMIFS(Inventarisatie[Oppervlakte],Inventarisatie[Locatie],$BC21,Inventarisatie[Freq. Ma-Vr],$C21,Inventarisatie[Categorie],F$2)</f>
        <v>492.69999999999993</v>
      </c>
      <c r="G21" s="475">
        <f ca="1">SUMIFS(Inventarisatie[Oppervlakte],Inventarisatie[Locatie],$BC21,Inventarisatie[Freq. Ma-Vr],$C21,Inventarisatie[Categorie],G$2)</f>
        <v>191.10000000000002</v>
      </c>
      <c r="H21" s="475">
        <f ca="1">SUMIFS(Inventarisatie[Oppervlakte],Inventarisatie[Locatie],$BC21,Inventarisatie[Freq. Ma-Vr],$C21,Inventarisatie[Categorie],H$2)</f>
        <v>50.1</v>
      </c>
      <c r="I21" s="476">
        <f ca="1">SUMIFS(Inventarisatie[Oppervlakte],Inventarisatie[Locatie],$BC21,Inventarisatie[Freq. Ma-Vr],$C21,Inventarisatie[Categorie],I$2)</f>
        <v>301.10000000000002</v>
      </c>
      <c r="J21" s="476">
        <f ca="1">SUMIFS(Inventarisatie[Oppervlakte],Inventarisatie[Locatie],$BC21,Inventarisatie[Freq. Ma-Vr],$C21,Inventarisatie[Categorie],J$2)</f>
        <v>0</v>
      </c>
      <c r="K21" s="533">
        <f ca="1">SUM(D21:J26)</f>
        <v>1809.3999999999996</v>
      </c>
      <c r="L21" s="316" t="b">
        <f>IF(_xlfn.XLOOKUP(BC21,Tabel2[Locatiecode],Tabel2[Type locatie],"",0)="vaccin",TRUE,FALSE)</f>
        <v>0</v>
      </c>
      <c r="BB21" s="9">
        <v>19</v>
      </c>
      <c r="BC21" s="9" t="str">
        <v>ALK-HAW</v>
      </c>
      <c r="BD21" s="9">
        <f t="shared" ca="1" si="0"/>
        <v>255</v>
      </c>
    </row>
    <row r="22" spans="1:56" ht="0.2" customHeight="1" x14ac:dyDescent="0.2">
      <c r="A22" s="172" cm="1">
        <f t="array" aca="1" ref="A22" ca="1">_xlfn.IFS(SUM(D22:J22)&gt;0,1,OFFSET($K22,-MOD(BB22+4,5),0)=0,2,TRUE,0)</f>
        <v>2</v>
      </c>
      <c r="B22" s="532"/>
      <c r="C22" s="473">
        <v>204</v>
      </c>
      <c r="D22" s="474">
        <f ca="1">SUMIFS(Inventarisatie[Oppervlakte],Inventarisatie[Locatie],$BC22,Inventarisatie[Freq. Ma-Vr],$C22,Inventarisatie[Categorie],D$2)</f>
        <v>0</v>
      </c>
      <c r="E22" s="475">
        <f ca="1">SUMIFS(Inventarisatie[Oppervlakte],Inventarisatie[Locatie],$BC22,Inventarisatie[Freq. Ma-Vr],$C22,Inventarisatie[Categorie],E$2)</f>
        <v>0</v>
      </c>
      <c r="F22" s="475">
        <f ca="1">SUMIFS(Inventarisatie[Oppervlakte],Inventarisatie[Locatie],$BC22,Inventarisatie[Freq. Ma-Vr],$C22,Inventarisatie[Categorie],F$2)</f>
        <v>0</v>
      </c>
      <c r="G22" s="475">
        <f ca="1">SUMIFS(Inventarisatie[Oppervlakte],Inventarisatie[Locatie],$BC22,Inventarisatie[Freq. Ma-Vr],$C22,Inventarisatie[Categorie],G$2)</f>
        <v>0</v>
      </c>
      <c r="H22" s="475">
        <f ca="1">SUMIFS(Inventarisatie[Oppervlakte],Inventarisatie[Locatie],$BC22,Inventarisatie[Freq. Ma-Vr],$C22,Inventarisatie[Categorie],H$2)</f>
        <v>0</v>
      </c>
      <c r="I22" s="476">
        <f ca="1">SUMIFS(Inventarisatie[Oppervlakte],Inventarisatie[Locatie],$BC22,Inventarisatie[Freq. Ma-Vr],$C22,Inventarisatie[Categorie],I$2)</f>
        <v>0</v>
      </c>
      <c r="J22" s="476">
        <f ca="1">SUMIFS(Inventarisatie[Oppervlakte],Inventarisatie[Locatie],$BC22,Inventarisatie[Freq. Ma-Vr],$C22,Inventarisatie[Categorie],J$2)</f>
        <v>0</v>
      </c>
      <c r="K22" s="533"/>
      <c r="L22" s="316" t="b">
        <f>IF(_xlfn.XLOOKUP(BC22,Tabel2[Locatiecode],Tabel2[Type locatie],"",0)="vaccin",TRUE,FALSE)</f>
        <v>0</v>
      </c>
      <c r="BB22" s="9">
        <v>20</v>
      </c>
      <c r="BC22" s="9" t="str">
        <v>ALK-HAW</v>
      </c>
      <c r="BD22" s="9" t="str">
        <f t="shared" ca="1" si="0"/>
        <v/>
      </c>
    </row>
    <row r="23" spans="1:56" ht="0.2" customHeight="1" x14ac:dyDescent="0.2">
      <c r="A23" s="172" cm="1">
        <f t="array" aca="1" ref="A23" ca="1">_xlfn.IFS(SUM(D23:J23)&gt;0,1,OFFSET($K23,-MOD(BB23+4,5),0)=0,2,TRUE,0)</f>
        <v>2</v>
      </c>
      <c r="B23" s="532"/>
      <c r="C23" s="473">
        <v>156</v>
      </c>
      <c r="D23" s="474">
        <f ca="1">SUMIFS(Inventarisatie[Oppervlakte],Inventarisatie[Locatie],$BC23,Inventarisatie[Freq. Ma-Vr],$C23,Inventarisatie[Categorie],D$2)</f>
        <v>0</v>
      </c>
      <c r="E23" s="475">
        <f ca="1">SUMIFS(Inventarisatie[Oppervlakte],Inventarisatie[Locatie],$BC23,Inventarisatie[Freq. Ma-Vr],$C23,Inventarisatie[Categorie],E$2)</f>
        <v>0</v>
      </c>
      <c r="F23" s="475">
        <f ca="1">SUMIFS(Inventarisatie[Oppervlakte],Inventarisatie[Locatie],$BC23,Inventarisatie[Freq. Ma-Vr],$C23,Inventarisatie[Categorie],F$2)</f>
        <v>0</v>
      </c>
      <c r="G23" s="475">
        <f ca="1">SUMIFS(Inventarisatie[Oppervlakte],Inventarisatie[Locatie],$BC23,Inventarisatie[Freq. Ma-Vr],$C23,Inventarisatie[Categorie],G$2)</f>
        <v>0</v>
      </c>
      <c r="H23" s="475">
        <f ca="1">SUMIFS(Inventarisatie[Oppervlakte],Inventarisatie[Locatie],$BC23,Inventarisatie[Freq. Ma-Vr],$C23,Inventarisatie[Categorie],H$2)</f>
        <v>0</v>
      </c>
      <c r="I23" s="476">
        <f ca="1">SUMIFS(Inventarisatie[Oppervlakte],Inventarisatie[Locatie],$BC23,Inventarisatie[Freq. Ma-Vr],$C23,Inventarisatie[Categorie],I$2)</f>
        <v>0</v>
      </c>
      <c r="J23" s="476">
        <f ca="1">SUMIFS(Inventarisatie[Oppervlakte],Inventarisatie[Locatie],$BC23,Inventarisatie[Freq. Ma-Vr],$C23,Inventarisatie[Categorie],J$2)</f>
        <v>0</v>
      </c>
      <c r="K23" s="534"/>
      <c r="L23" s="316" t="b">
        <f>IF(_xlfn.XLOOKUP(BC23,Tabel2[Locatiecode],Tabel2[Type locatie],"",0)="vaccin",TRUE,FALSE)</f>
        <v>0</v>
      </c>
      <c r="BB23" s="9">
        <v>21</v>
      </c>
      <c r="BC23" s="9" t="str">
        <v>ALK-HAW</v>
      </c>
      <c r="BD23" s="9" t="str">
        <f t="shared" ca="1" si="0"/>
        <v/>
      </c>
    </row>
    <row r="24" spans="1:56" ht="0.2" customHeight="1" x14ac:dyDescent="0.2">
      <c r="A24" s="172" cm="1">
        <f t="array" aca="1" ref="A24" ca="1">_xlfn.IFS(SUM(D24:J24)&gt;0,1,OFFSET($K24,-MOD(BB24+4,5),0)=0,2,TRUE,0)</f>
        <v>2</v>
      </c>
      <c r="B24" s="532"/>
      <c r="C24" s="473">
        <v>104</v>
      </c>
      <c r="D24" s="474">
        <f ca="1">SUMIFS(Inventarisatie[Oppervlakte],Inventarisatie[Locatie],$BC24,Inventarisatie[Freq. Ma-Vr],$C24,Inventarisatie[Categorie],D$2)</f>
        <v>0</v>
      </c>
      <c r="E24" s="475">
        <f ca="1">SUMIFS(Inventarisatie[Oppervlakte],Inventarisatie[Locatie],$BC24,Inventarisatie[Freq. Ma-Vr],$C24,Inventarisatie[Categorie],E$2)</f>
        <v>0</v>
      </c>
      <c r="F24" s="475">
        <f ca="1">SUMIFS(Inventarisatie[Oppervlakte],Inventarisatie[Locatie],$BC24,Inventarisatie[Freq. Ma-Vr],$C24,Inventarisatie[Categorie],F$2)</f>
        <v>0</v>
      </c>
      <c r="G24" s="475">
        <f ca="1">SUMIFS(Inventarisatie[Oppervlakte],Inventarisatie[Locatie],$BC24,Inventarisatie[Freq. Ma-Vr],$C24,Inventarisatie[Categorie],G$2)</f>
        <v>0</v>
      </c>
      <c r="H24" s="475">
        <f ca="1">SUMIFS(Inventarisatie[Oppervlakte],Inventarisatie[Locatie],$BC24,Inventarisatie[Freq. Ma-Vr],$C24,Inventarisatie[Categorie],H$2)</f>
        <v>0</v>
      </c>
      <c r="I24" s="476">
        <f ca="1">SUMIFS(Inventarisatie[Oppervlakte],Inventarisatie[Locatie],$BC24,Inventarisatie[Freq. Ma-Vr],$C24,Inventarisatie[Categorie],I$2)</f>
        <v>0</v>
      </c>
      <c r="J24" s="476">
        <f ca="1">SUMIFS(Inventarisatie[Oppervlakte],Inventarisatie[Locatie],$BC24,Inventarisatie[Freq. Ma-Vr],$C24,Inventarisatie[Categorie],J$2)</f>
        <v>0</v>
      </c>
      <c r="K24" s="534"/>
      <c r="L24" s="316" t="b">
        <f>IF(_xlfn.XLOOKUP(BC24,Tabel2[Locatiecode],Tabel2[Type locatie],"",0)="vaccin",TRUE,FALSE)</f>
        <v>0</v>
      </c>
      <c r="BB24" s="9">
        <v>22</v>
      </c>
      <c r="BC24" s="9" t="str">
        <v>ALK-HAW</v>
      </c>
      <c r="BD24" s="9" t="str">
        <f t="shared" ca="1" si="0"/>
        <v/>
      </c>
    </row>
    <row r="25" spans="1:56" ht="0.2" customHeight="1" x14ac:dyDescent="0.2">
      <c r="A25" s="172" cm="1">
        <f t="array" aca="1" ref="A25" ca="1">_xlfn.IFS(SUM(D25:J25)&gt;0,1,OFFSET($K25,-MOD(BB25+4,5),0)=0,2,TRUE,0)</f>
        <v>2</v>
      </c>
      <c r="B25" s="532"/>
      <c r="C25" s="473">
        <v>52</v>
      </c>
      <c r="D25" s="474">
        <f ca="1">SUMIFS(Inventarisatie[Oppervlakte],Inventarisatie[Locatie],$BC25,Inventarisatie[Freq. Ma-Vr],$C25,Inventarisatie[Categorie],D$2)</f>
        <v>0</v>
      </c>
      <c r="E25" s="475">
        <f ca="1">SUMIFS(Inventarisatie[Oppervlakte],Inventarisatie[Locatie],$BC25,Inventarisatie[Freq. Ma-Vr],$C25,Inventarisatie[Categorie],E$2)</f>
        <v>0</v>
      </c>
      <c r="F25" s="475">
        <f ca="1">SUMIFS(Inventarisatie[Oppervlakte],Inventarisatie[Locatie],$BC25,Inventarisatie[Freq. Ma-Vr],$C25,Inventarisatie[Categorie],F$2)</f>
        <v>0</v>
      </c>
      <c r="G25" s="475">
        <f ca="1">SUMIFS(Inventarisatie[Oppervlakte],Inventarisatie[Locatie],$BC25,Inventarisatie[Freq. Ma-Vr],$C25,Inventarisatie[Categorie],G$2)</f>
        <v>0</v>
      </c>
      <c r="H25" s="475">
        <f ca="1">SUMIFS(Inventarisatie[Oppervlakte],Inventarisatie[Locatie],$BC25,Inventarisatie[Freq. Ma-Vr],$C25,Inventarisatie[Categorie],H$2)</f>
        <v>0</v>
      </c>
      <c r="I25" s="476">
        <f ca="1">SUMIFS(Inventarisatie[Oppervlakte],Inventarisatie[Locatie],$BC25,Inventarisatie[Freq. Ma-Vr],$C25,Inventarisatie[Categorie],I$2)</f>
        <v>0</v>
      </c>
      <c r="J25" s="476">
        <f ca="1">SUMIFS(Inventarisatie[Oppervlakte],Inventarisatie[Locatie],$BC25,Inventarisatie[Freq. Ma-Vr],$C25,Inventarisatie[Categorie],J$2)</f>
        <v>0</v>
      </c>
      <c r="K25" s="534"/>
      <c r="L25" s="316" t="b">
        <f>IF(_xlfn.XLOOKUP(BC25,Tabel2[Locatiecode],Tabel2[Type locatie],"",0)="vaccin",TRUE,FALSE)</f>
        <v>0</v>
      </c>
      <c r="M25" s="202"/>
      <c r="N25" s="202"/>
      <c r="O25" s="202"/>
      <c r="P25" s="202"/>
      <c r="Q25" s="202"/>
      <c r="BB25" s="9">
        <v>23</v>
      </c>
      <c r="BC25" s="9" t="str">
        <v>ALK-HAW</v>
      </c>
      <c r="BD25" s="9" t="str">
        <f t="shared" ca="1" si="0"/>
        <v/>
      </c>
    </row>
    <row r="26" spans="1:56" ht="0.2" customHeight="1" x14ac:dyDescent="0.2">
      <c r="A26" s="172" cm="1">
        <f t="array" aca="1" ref="A26" ca="1">_xlfn.IFS(SUM(D26:J26)&gt;0,1,OFFSET($K26,-MOD(BB26+4,5),0)=0,2,TRUE,0)</f>
        <v>2</v>
      </c>
      <c r="B26" s="532"/>
      <c r="C26" s="473">
        <v>4</v>
      </c>
      <c r="D26" s="474">
        <f ca="1">SUMIFS(Inventarisatie[Oppervlakte],Inventarisatie[Locatie],$BC26,Inventarisatie[Freq. Ma-Vr],$C26,Inventarisatie[Categorie],D$2)</f>
        <v>0</v>
      </c>
      <c r="E26" s="475">
        <f ca="1">SUMIFS(Inventarisatie[Oppervlakte],Inventarisatie[Locatie],$BC26,Inventarisatie[Freq. Ma-Vr],$C26,Inventarisatie[Categorie],E$2)</f>
        <v>0</v>
      </c>
      <c r="F26" s="475">
        <f ca="1">SUMIFS(Inventarisatie[Oppervlakte],Inventarisatie[Locatie],$BC26,Inventarisatie[Freq. Ma-Vr],$C26,Inventarisatie[Categorie],F$2)</f>
        <v>0</v>
      </c>
      <c r="G26" s="475">
        <f ca="1">SUMIFS(Inventarisatie[Oppervlakte],Inventarisatie[Locatie],$BC26,Inventarisatie[Freq. Ma-Vr],$C26,Inventarisatie[Categorie],G$2)</f>
        <v>0</v>
      </c>
      <c r="H26" s="475">
        <f ca="1">SUMIFS(Inventarisatie[Oppervlakte],Inventarisatie[Locatie],$BC26,Inventarisatie[Freq. Ma-Vr],$C26,Inventarisatie[Categorie],H$2)</f>
        <v>0</v>
      </c>
      <c r="I26" s="476">
        <f ca="1">SUMIFS(Inventarisatie[Oppervlakte],Inventarisatie[Locatie],$BC26,Inventarisatie[Freq. Ma-Vr],$C26,Inventarisatie[Categorie],I$2)</f>
        <v>0</v>
      </c>
      <c r="J26" s="476">
        <f ca="1">SUMIFS(Inventarisatie[Oppervlakte],Inventarisatie[Locatie],$BC26,Inventarisatie[Freq. Ma-Vr],$C26,Inventarisatie[Categorie],J$2)</f>
        <v>0</v>
      </c>
      <c r="K26" s="534"/>
      <c r="L26" s="316" t="b">
        <f>IF(_xlfn.XLOOKUP(BC26,Tabel2[Locatiecode],Tabel2[Type locatie],"",0)="vaccin",TRUE,FALSE)</f>
        <v>0</v>
      </c>
      <c r="BB26" s="9">
        <v>24</v>
      </c>
      <c r="BC26" s="9" t="str">
        <v>ALK-HAW</v>
      </c>
      <c r="BD26" s="9" t="str">
        <f t="shared" ca="1" si="0"/>
        <v/>
      </c>
    </row>
    <row r="27" spans="1:56" ht="15" customHeight="1" x14ac:dyDescent="0.2">
      <c r="A27" s="172" cm="1">
        <f t="array" aca="1" ref="A27" ca="1">_xlfn.IFS(SUM(D27:J27)&gt;0,1,OFFSET($K27,-MOD(BB27+4,5),0)=0,2,TRUE,0)</f>
        <v>1</v>
      </c>
      <c r="B27" s="532" t="str">
        <f>BC27</f>
        <v>ALK-MWS</v>
      </c>
      <c r="C27" s="473">
        <v>255</v>
      </c>
      <c r="D27" s="474">
        <f ca="1">SUMIFS(Inventarisatie[Oppervlakte],Inventarisatie[Locatie],$BC27,Inventarisatie[Freq. Ma-Vr],$C27,Inventarisatie[Categorie],D$2)</f>
        <v>44</v>
      </c>
      <c r="E27" s="475">
        <f ca="1">SUMIFS(Inventarisatie[Oppervlakte],Inventarisatie[Locatie],$BC27,Inventarisatie[Freq. Ma-Vr],$C27,Inventarisatie[Categorie],E$2)</f>
        <v>96</v>
      </c>
      <c r="F27" s="475">
        <f ca="1">SUMIFS(Inventarisatie[Oppervlakte],Inventarisatie[Locatie],$BC27,Inventarisatie[Freq. Ma-Vr],$C27,Inventarisatie[Categorie],F$2)</f>
        <v>174.29999999999998</v>
      </c>
      <c r="G27" s="475">
        <f ca="1">SUMIFS(Inventarisatie[Oppervlakte],Inventarisatie[Locatie],$BC27,Inventarisatie[Freq. Ma-Vr],$C27,Inventarisatie[Categorie],G$2)</f>
        <v>8.4</v>
      </c>
      <c r="H27" s="475">
        <f ca="1">SUMIFS(Inventarisatie[Oppervlakte],Inventarisatie[Locatie],$BC27,Inventarisatie[Freq. Ma-Vr],$C27,Inventarisatie[Categorie],H$2)</f>
        <v>6.5</v>
      </c>
      <c r="I27" s="476">
        <f ca="1">SUMIFS(Inventarisatie[Oppervlakte],Inventarisatie[Locatie],$BC27,Inventarisatie[Freq. Ma-Vr],$C27,Inventarisatie[Categorie],I$2)</f>
        <v>80.599999999999994</v>
      </c>
      <c r="J27" s="476">
        <f ca="1">SUMIFS(Inventarisatie[Oppervlakte],Inventarisatie[Locatie],$BC27,Inventarisatie[Freq. Ma-Vr],$C27,Inventarisatie[Categorie],J$2)</f>
        <v>0</v>
      </c>
      <c r="K27" s="533">
        <f ca="1">SUM(D27:J32)</f>
        <v>409.79999999999995</v>
      </c>
      <c r="L27" s="316" t="b">
        <f>IF(_xlfn.XLOOKUP(BC27,Tabel2[Locatiecode],Tabel2[Type locatie],"",0)="vaccin",TRUE,FALSE)</f>
        <v>0</v>
      </c>
      <c r="BB27" s="9">
        <v>25</v>
      </c>
      <c r="BC27" s="9" t="str">
        <v>ALK-MWS</v>
      </c>
      <c r="BD27" s="9">
        <f t="shared" ca="1" si="0"/>
        <v>255</v>
      </c>
    </row>
    <row r="28" spans="1:56" ht="0.2" customHeight="1" x14ac:dyDescent="0.2">
      <c r="A28" s="172" cm="1">
        <f t="array" aca="1" ref="A28" ca="1">_xlfn.IFS(SUM(D28:J28)&gt;0,1,OFFSET($K28,-MOD(BB28+4,5),0)=0,2,TRUE,0)</f>
        <v>2</v>
      </c>
      <c r="B28" s="532"/>
      <c r="C28" s="473">
        <v>204</v>
      </c>
      <c r="D28" s="474">
        <f ca="1">SUMIFS(Inventarisatie[Oppervlakte],Inventarisatie[Locatie],$BC28,Inventarisatie[Freq. Ma-Vr],$C28,Inventarisatie[Categorie],D$2)</f>
        <v>0</v>
      </c>
      <c r="E28" s="475">
        <f ca="1">SUMIFS(Inventarisatie[Oppervlakte],Inventarisatie[Locatie],$BC28,Inventarisatie[Freq. Ma-Vr],$C28,Inventarisatie[Categorie],E$2)</f>
        <v>0</v>
      </c>
      <c r="F28" s="475">
        <f ca="1">SUMIFS(Inventarisatie[Oppervlakte],Inventarisatie[Locatie],$BC28,Inventarisatie[Freq. Ma-Vr],$C28,Inventarisatie[Categorie],F$2)</f>
        <v>0</v>
      </c>
      <c r="G28" s="475">
        <f ca="1">SUMIFS(Inventarisatie[Oppervlakte],Inventarisatie[Locatie],$BC28,Inventarisatie[Freq. Ma-Vr],$C28,Inventarisatie[Categorie],G$2)</f>
        <v>0</v>
      </c>
      <c r="H28" s="475">
        <f ca="1">SUMIFS(Inventarisatie[Oppervlakte],Inventarisatie[Locatie],$BC28,Inventarisatie[Freq. Ma-Vr],$C28,Inventarisatie[Categorie],H$2)</f>
        <v>0</v>
      </c>
      <c r="I28" s="476">
        <f ca="1">SUMIFS(Inventarisatie[Oppervlakte],Inventarisatie[Locatie],$BC28,Inventarisatie[Freq. Ma-Vr],$C28,Inventarisatie[Categorie],I$2)</f>
        <v>0</v>
      </c>
      <c r="J28" s="476">
        <f ca="1">SUMIFS(Inventarisatie[Oppervlakte],Inventarisatie[Locatie],$BC28,Inventarisatie[Freq. Ma-Vr],$C28,Inventarisatie[Categorie],J$2)</f>
        <v>0</v>
      </c>
      <c r="K28" s="533"/>
      <c r="L28" s="316" t="b">
        <f>IF(_xlfn.XLOOKUP(BC28,Tabel2[Locatiecode],Tabel2[Type locatie],"",0)="vaccin",TRUE,FALSE)</f>
        <v>0</v>
      </c>
      <c r="BB28" s="9">
        <v>26</v>
      </c>
      <c r="BC28" s="9" t="str">
        <v>ALK-MWS</v>
      </c>
      <c r="BD28" s="9" t="str">
        <f t="shared" ca="1" si="0"/>
        <v/>
      </c>
    </row>
    <row r="29" spans="1:56" ht="0.2" customHeight="1" x14ac:dyDescent="0.2">
      <c r="A29" s="172" cm="1">
        <f t="array" aca="1" ref="A29" ca="1">_xlfn.IFS(SUM(D29:J29)&gt;0,1,OFFSET($K29,-MOD(BB29+4,5),0)=0,2,TRUE,0)</f>
        <v>2</v>
      </c>
      <c r="B29" s="532"/>
      <c r="C29" s="473">
        <v>156</v>
      </c>
      <c r="D29" s="474">
        <f ca="1">SUMIFS(Inventarisatie[Oppervlakte],Inventarisatie[Locatie],$BC29,Inventarisatie[Freq. Ma-Vr],$C29,Inventarisatie[Categorie],D$2)</f>
        <v>0</v>
      </c>
      <c r="E29" s="475">
        <f ca="1">SUMIFS(Inventarisatie[Oppervlakte],Inventarisatie[Locatie],$BC29,Inventarisatie[Freq. Ma-Vr],$C29,Inventarisatie[Categorie],E$2)</f>
        <v>0</v>
      </c>
      <c r="F29" s="475">
        <f ca="1">SUMIFS(Inventarisatie[Oppervlakte],Inventarisatie[Locatie],$BC29,Inventarisatie[Freq. Ma-Vr],$C29,Inventarisatie[Categorie],F$2)</f>
        <v>0</v>
      </c>
      <c r="G29" s="475">
        <f ca="1">SUMIFS(Inventarisatie[Oppervlakte],Inventarisatie[Locatie],$BC29,Inventarisatie[Freq. Ma-Vr],$C29,Inventarisatie[Categorie],G$2)</f>
        <v>0</v>
      </c>
      <c r="H29" s="475">
        <f ca="1">SUMIFS(Inventarisatie[Oppervlakte],Inventarisatie[Locatie],$BC29,Inventarisatie[Freq. Ma-Vr],$C29,Inventarisatie[Categorie],H$2)</f>
        <v>0</v>
      </c>
      <c r="I29" s="476">
        <f ca="1">SUMIFS(Inventarisatie[Oppervlakte],Inventarisatie[Locatie],$BC29,Inventarisatie[Freq. Ma-Vr],$C29,Inventarisatie[Categorie],I$2)</f>
        <v>0</v>
      </c>
      <c r="J29" s="476">
        <f ca="1">SUMIFS(Inventarisatie[Oppervlakte],Inventarisatie[Locatie],$BC29,Inventarisatie[Freq. Ma-Vr],$C29,Inventarisatie[Categorie],J$2)</f>
        <v>0</v>
      </c>
      <c r="K29" s="534"/>
      <c r="L29" s="316" t="b">
        <f>IF(_xlfn.XLOOKUP(BC29,Tabel2[Locatiecode],Tabel2[Type locatie],"",0)="vaccin",TRUE,FALSE)</f>
        <v>0</v>
      </c>
      <c r="M29" s="202"/>
      <c r="N29" s="202"/>
      <c r="O29" s="202"/>
      <c r="P29" s="202"/>
      <c r="Q29" s="202"/>
      <c r="BB29" s="9">
        <v>27</v>
      </c>
      <c r="BC29" s="9" t="str">
        <v>ALK-MWS</v>
      </c>
      <c r="BD29" s="9" t="str">
        <f t="shared" ca="1" si="0"/>
        <v/>
      </c>
    </row>
    <row r="30" spans="1:56" ht="0.2" customHeight="1" x14ac:dyDescent="0.2">
      <c r="A30" s="172" cm="1">
        <f t="array" aca="1" ref="A30" ca="1">_xlfn.IFS(SUM(D30:J30)&gt;0,1,OFFSET($K30,-MOD(BB30+4,5),0)=0,2,TRUE,0)</f>
        <v>2</v>
      </c>
      <c r="B30" s="532"/>
      <c r="C30" s="473">
        <v>104</v>
      </c>
      <c r="D30" s="474">
        <f ca="1">SUMIFS(Inventarisatie[Oppervlakte],Inventarisatie[Locatie],$BC30,Inventarisatie[Freq. Ma-Vr],$C30,Inventarisatie[Categorie],D$2)</f>
        <v>0</v>
      </c>
      <c r="E30" s="475">
        <f ca="1">SUMIFS(Inventarisatie[Oppervlakte],Inventarisatie[Locatie],$BC30,Inventarisatie[Freq. Ma-Vr],$C30,Inventarisatie[Categorie],E$2)</f>
        <v>0</v>
      </c>
      <c r="F30" s="475">
        <f ca="1">SUMIFS(Inventarisatie[Oppervlakte],Inventarisatie[Locatie],$BC30,Inventarisatie[Freq. Ma-Vr],$C30,Inventarisatie[Categorie],F$2)</f>
        <v>0</v>
      </c>
      <c r="G30" s="475">
        <f ca="1">SUMIFS(Inventarisatie[Oppervlakte],Inventarisatie[Locatie],$BC30,Inventarisatie[Freq. Ma-Vr],$C30,Inventarisatie[Categorie],G$2)</f>
        <v>0</v>
      </c>
      <c r="H30" s="475">
        <f ca="1">SUMIFS(Inventarisatie[Oppervlakte],Inventarisatie[Locatie],$BC30,Inventarisatie[Freq. Ma-Vr],$C30,Inventarisatie[Categorie],H$2)</f>
        <v>0</v>
      </c>
      <c r="I30" s="476">
        <f ca="1">SUMIFS(Inventarisatie[Oppervlakte],Inventarisatie[Locatie],$BC30,Inventarisatie[Freq. Ma-Vr],$C30,Inventarisatie[Categorie],I$2)</f>
        <v>0</v>
      </c>
      <c r="J30" s="476">
        <f ca="1">SUMIFS(Inventarisatie[Oppervlakte],Inventarisatie[Locatie],$BC30,Inventarisatie[Freq. Ma-Vr],$C30,Inventarisatie[Categorie],J$2)</f>
        <v>0</v>
      </c>
      <c r="K30" s="534"/>
      <c r="L30" s="316" t="b">
        <f>IF(_xlfn.XLOOKUP(BC30,Tabel2[Locatiecode],Tabel2[Type locatie],"",0)="vaccin",TRUE,FALSE)</f>
        <v>0</v>
      </c>
      <c r="BB30" s="9">
        <v>28</v>
      </c>
      <c r="BC30" s="9" t="str">
        <v>ALK-MWS</v>
      </c>
      <c r="BD30" s="9" t="str">
        <f t="shared" ca="1" si="0"/>
        <v/>
      </c>
    </row>
    <row r="31" spans="1:56" ht="0.2" customHeight="1" x14ac:dyDescent="0.2">
      <c r="A31" s="172" cm="1">
        <f t="array" aca="1" ref="A31" ca="1">_xlfn.IFS(SUM(D31:J31)&gt;0,1,OFFSET($K31,-MOD(BB31+4,5),0)=0,2,TRUE,0)</f>
        <v>2</v>
      </c>
      <c r="B31" s="532"/>
      <c r="C31" s="473">
        <v>52</v>
      </c>
      <c r="D31" s="474">
        <f ca="1">SUMIFS(Inventarisatie[Oppervlakte],Inventarisatie[Locatie],$BC31,Inventarisatie[Freq. Ma-Vr],$C31,Inventarisatie[Categorie],D$2)</f>
        <v>0</v>
      </c>
      <c r="E31" s="475">
        <f ca="1">SUMIFS(Inventarisatie[Oppervlakte],Inventarisatie[Locatie],$BC31,Inventarisatie[Freq. Ma-Vr],$C31,Inventarisatie[Categorie],E$2)</f>
        <v>0</v>
      </c>
      <c r="F31" s="475">
        <f ca="1">SUMIFS(Inventarisatie[Oppervlakte],Inventarisatie[Locatie],$BC31,Inventarisatie[Freq. Ma-Vr],$C31,Inventarisatie[Categorie],F$2)</f>
        <v>0</v>
      </c>
      <c r="G31" s="475">
        <f ca="1">SUMIFS(Inventarisatie[Oppervlakte],Inventarisatie[Locatie],$BC31,Inventarisatie[Freq. Ma-Vr],$C31,Inventarisatie[Categorie],G$2)</f>
        <v>0</v>
      </c>
      <c r="H31" s="475">
        <f ca="1">SUMIFS(Inventarisatie[Oppervlakte],Inventarisatie[Locatie],$BC31,Inventarisatie[Freq. Ma-Vr],$C31,Inventarisatie[Categorie],H$2)</f>
        <v>0</v>
      </c>
      <c r="I31" s="476">
        <f ca="1">SUMIFS(Inventarisatie[Oppervlakte],Inventarisatie[Locatie],$BC31,Inventarisatie[Freq. Ma-Vr],$C31,Inventarisatie[Categorie],I$2)</f>
        <v>0</v>
      </c>
      <c r="J31" s="476">
        <f ca="1">SUMIFS(Inventarisatie[Oppervlakte],Inventarisatie[Locatie],$BC31,Inventarisatie[Freq. Ma-Vr],$C31,Inventarisatie[Categorie],J$2)</f>
        <v>0</v>
      </c>
      <c r="K31" s="534"/>
      <c r="L31" s="316" t="b">
        <f>IF(_xlfn.XLOOKUP(BC31,Tabel2[Locatiecode],Tabel2[Type locatie],"",0)="vaccin",TRUE,FALSE)</f>
        <v>0</v>
      </c>
      <c r="BB31" s="9">
        <v>29</v>
      </c>
      <c r="BC31" s="9" t="str">
        <v>ALK-MWS</v>
      </c>
      <c r="BD31" s="9" t="str">
        <f t="shared" ca="1" si="0"/>
        <v/>
      </c>
    </row>
    <row r="32" spans="1:56" ht="0.2" customHeight="1" x14ac:dyDescent="0.2">
      <c r="A32" s="172" cm="1">
        <f t="array" aca="1" ref="A32" ca="1">_xlfn.IFS(SUM(D32:J32)&gt;0,1,OFFSET($K32,-MOD(BB32+4,5),0)=0,2,TRUE,0)</f>
        <v>2</v>
      </c>
      <c r="B32" s="532"/>
      <c r="C32" s="473">
        <v>4</v>
      </c>
      <c r="D32" s="474">
        <f ca="1">SUMIFS(Inventarisatie[Oppervlakte],Inventarisatie[Locatie],$BC32,Inventarisatie[Freq. Ma-Vr],$C32,Inventarisatie[Categorie],D$2)</f>
        <v>0</v>
      </c>
      <c r="E32" s="475">
        <f ca="1">SUMIFS(Inventarisatie[Oppervlakte],Inventarisatie[Locatie],$BC32,Inventarisatie[Freq. Ma-Vr],$C32,Inventarisatie[Categorie],E$2)</f>
        <v>0</v>
      </c>
      <c r="F32" s="475">
        <f ca="1">SUMIFS(Inventarisatie[Oppervlakte],Inventarisatie[Locatie],$BC32,Inventarisatie[Freq. Ma-Vr],$C32,Inventarisatie[Categorie],F$2)</f>
        <v>0</v>
      </c>
      <c r="G32" s="475">
        <f ca="1">SUMIFS(Inventarisatie[Oppervlakte],Inventarisatie[Locatie],$BC32,Inventarisatie[Freq. Ma-Vr],$C32,Inventarisatie[Categorie],G$2)</f>
        <v>0</v>
      </c>
      <c r="H32" s="475">
        <f ca="1">SUMIFS(Inventarisatie[Oppervlakte],Inventarisatie[Locatie],$BC32,Inventarisatie[Freq. Ma-Vr],$C32,Inventarisatie[Categorie],H$2)</f>
        <v>0</v>
      </c>
      <c r="I32" s="476">
        <f ca="1">SUMIFS(Inventarisatie[Oppervlakte],Inventarisatie[Locatie],$BC32,Inventarisatie[Freq. Ma-Vr],$C32,Inventarisatie[Categorie],I$2)</f>
        <v>0</v>
      </c>
      <c r="J32" s="476">
        <f ca="1">SUMIFS(Inventarisatie[Oppervlakte],Inventarisatie[Locatie],$BC32,Inventarisatie[Freq. Ma-Vr],$C32,Inventarisatie[Categorie],J$2)</f>
        <v>0</v>
      </c>
      <c r="K32" s="534"/>
      <c r="L32" s="316" t="b">
        <f>IF(_xlfn.XLOOKUP(BC32,Tabel2[Locatiecode],Tabel2[Type locatie],"",0)="vaccin",TRUE,FALSE)</f>
        <v>0</v>
      </c>
      <c r="M32" s="202"/>
      <c r="N32" s="202"/>
      <c r="O32" s="202"/>
      <c r="P32" s="202"/>
      <c r="BB32" s="9">
        <v>30</v>
      </c>
      <c r="BC32" s="9" t="str">
        <v>ALK-MWS</v>
      </c>
      <c r="BD32" s="9" t="str">
        <f t="shared" ca="1" si="0"/>
        <v/>
      </c>
    </row>
    <row r="33" spans="1:56" ht="15" customHeight="1" x14ac:dyDescent="0.2">
      <c r="A33" s="172" cm="1">
        <f t="array" aca="1" ref="A33" ca="1">_xlfn.IFS(SUM(D33:J33)&gt;0,1,OFFSET($K33,-MOD(BB33+4,5),0)=0,2,TRUE,0)</f>
        <v>1</v>
      </c>
      <c r="B33" s="532" t="str">
        <f>BC33</f>
        <v>ALK-OLW</v>
      </c>
      <c r="C33" s="473">
        <v>255</v>
      </c>
      <c r="D33" s="474">
        <f ca="1">SUMIFS(Inventarisatie[Oppervlakte],Inventarisatie[Locatie],$BC33,Inventarisatie[Freq. Ma-Vr],$C33,Inventarisatie[Categorie],D$2)</f>
        <v>0</v>
      </c>
      <c r="E33" s="475">
        <f ca="1">SUMIFS(Inventarisatie[Oppervlakte],Inventarisatie[Locatie],$BC33,Inventarisatie[Freq. Ma-Vr],$C33,Inventarisatie[Categorie],E$2)</f>
        <v>90</v>
      </c>
      <c r="F33" s="475">
        <f ca="1">SUMIFS(Inventarisatie[Oppervlakte],Inventarisatie[Locatie],$BC33,Inventarisatie[Freq. Ma-Vr],$C33,Inventarisatie[Categorie],F$2)</f>
        <v>626.5</v>
      </c>
      <c r="G33" s="475">
        <f ca="1">SUMIFS(Inventarisatie[Oppervlakte],Inventarisatie[Locatie],$BC33,Inventarisatie[Freq. Ma-Vr],$C33,Inventarisatie[Categorie],G$2)</f>
        <v>249.5</v>
      </c>
      <c r="H33" s="475">
        <f ca="1">SUMIFS(Inventarisatie[Oppervlakte],Inventarisatie[Locatie],$BC33,Inventarisatie[Freq. Ma-Vr],$C33,Inventarisatie[Categorie],H$2)</f>
        <v>105</v>
      </c>
      <c r="I33" s="476">
        <f ca="1">SUMIFS(Inventarisatie[Oppervlakte],Inventarisatie[Locatie],$BC33,Inventarisatie[Freq. Ma-Vr],$C33,Inventarisatie[Categorie],I$2)</f>
        <v>414</v>
      </c>
      <c r="J33" s="476">
        <f ca="1">SUMIFS(Inventarisatie[Oppervlakte],Inventarisatie[Locatie],$BC33,Inventarisatie[Freq. Ma-Vr],$C33,Inventarisatie[Categorie],J$2)</f>
        <v>0</v>
      </c>
      <c r="K33" s="533">
        <f ca="1">SUM(D33:J38)</f>
        <v>1485</v>
      </c>
      <c r="L33" s="316" t="b">
        <f>IF(_xlfn.XLOOKUP(BC33,Tabel2[Locatiecode],Tabel2[Type locatie],"",0)="vaccin",TRUE,FALSE)</f>
        <v>1</v>
      </c>
      <c r="BB33" s="9">
        <v>31</v>
      </c>
      <c r="BC33" s="9" t="str">
        <v>ALK-OLW</v>
      </c>
      <c r="BD33" s="9">
        <f t="shared" ca="1" si="0"/>
        <v>255</v>
      </c>
    </row>
    <row r="34" spans="1:56" ht="0.2" customHeight="1" x14ac:dyDescent="0.2">
      <c r="A34" s="172" cm="1">
        <f t="array" aca="1" ref="A34" ca="1">_xlfn.IFS(SUM(D34:J34)&gt;0,1,OFFSET($K34,-MOD(BB34+4,5),0)=0,2,TRUE,0)</f>
        <v>0</v>
      </c>
      <c r="B34" s="532"/>
      <c r="C34" s="473">
        <v>204</v>
      </c>
      <c r="D34" s="474">
        <f ca="1">SUMIFS(Inventarisatie[Oppervlakte],Inventarisatie[Locatie],$BC34,Inventarisatie[Freq. Ma-Vr],$C34,Inventarisatie[Categorie],D$2)</f>
        <v>0</v>
      </c>
      <c r="E34" s="475">
        <f ca="1">SUMIFS(Inventarisatie[Oppervlakte],Inventarisatie[Locatie],$BC34,Inventarisatie[Freq. Ma-Vr],$C34,Inventarisatie[Categorie],E$2)</f>
        <v>0</v>
      </c>
      <c r="F34" s="475">
        <f ca="1">SUMIFS(Inventarisatie[Oppervlakte],Inventarisatie[Locatie],$BC34,Inventarisatie[Freq. Ma-Vr],$C34,Inventarisatie[Categorie],F$2)</f>
        <v>0</v>
      </c>
      <c r="G34" s="475">
        <f ca="1">SUMIFS(Inventarisatie[Oppervlakte],Inventarisatie[Locatie],$BC34,Inventarisatie[Freq. Ma-Vr],$C34,Inventarisatie[Categorie],G$2)</f>
        <v>0</v>
      </c>
      <c r="H34" s="475">
        <f ca="1">SUMIFS(Inventarisatie[Oppervlakte],Inventarisatie[Locatie],$BC34,Inventarisatie[Freq. Ma-Vr],$C34,Inventarisatie[Categorie],H$2)</f>
        <v>0</v>
      </c>
      <c r="I34" s="476">
        <f ca="1">SUMIFS(Inventarisatie[Oppervlakte],Inventarisatie[Locatie],$BC34,Inventarisatie[Freq. Ma-Vr],$C34,Inventarisatie[Categorie],I$2)</f>
        <v>0</v>
      </c>
      <c r="J34" s="476">
        <f ca="1">SUMIFS(Inventarisatie[Oppervlakte],Inventarisatie[Locatie],$BC34,Inventarisatie[Freq. Ma-Vr],$C34,Inventarisatie[Categorie],J$2)</f>
        <v>0</v>
      </c>
      <c r="K34" s="533"/>
      <c r="L34" s="316" t="b">
        <f>IF(_xlfn.XLOOKUP(BC34,Tabel2[Locatiecode],Tabel2[Type locatie],"",0)="vaccin",TRUE,FALSE)</f>
        <v>1</v>
      </c>
      <c r="BB34" s="9">
        <v>32</v>
      </c>
      <c r="BC34" s="9" t="str">
        <v>ALK-OLW</v>
      </c>
      <c r="BD34" s="9" t="str">
        <f t="shared" ca="1" si="0"/>
        <v/>
      </c>
    </row>
    <row r="35" spans="1:56" ht="0.2" customHeight="1" x14ac:dyDescent="0.2">
      <c r="A35" s="172" cm="1">
        <f t="array" aca="1" ref="A35" ca="1">_xlfn.IFS(SUM(D35:J35)&gt;0,1,OFFSET($K35,-MOD(BB35+4,5),0)=0,2,TRUE,0)</f>
        <v>0</v>
      </c>
      <c r="B35" s="532"/>
      <c r="C35" s="473">
        <v>156</v>
      </c>
      <c r="D35" s="474">
        <f ca="1">SUMIFS(Inventarisatie[Oppervlakte],Inventarisatie[Locatie],$BC35,Inventarisatie[Freq. Ma-Vr],$C35,Inventarisatie[Categorie],D$2)</f>
        <v>0</v>
      </c>
      <c r="E35" s="475">
        <f ca="1">SUMIFS(Inventarisatie[Oppervlakte],Inventarisatie[Locatie],$BC35,Inventarisatie[Freq. Ma-Vr],$C35,Inventarisatie[Categorie],E$2)</f>
        <v>0</v>
      </c>
      <c r="F35" s="475">
        <f ca="1">SUMIFS(Inventarisatie[Oppervlakte],Inventarisatie[Locatie],$BC35,Inventarisatie[Freq. Ma-Vr],$C35,Inventarisatie[Categorie],F$2)</f>
        <v>0</v>
      </c>
      <c r="G35" s="475">
        <f ca="1">SUMIFS(Inventarisatie[Oppervlakte],Inventarisatie[Locatie],$BC35,Inventarisatie[Freq. Ma-Vr],$C35,Inventarisatie[Categorie],G$2)</f>
        <v>0</v>
      </c>
      <c r="H35" s="475">
        <f ca="1">SUMIFS(Inventarisatie[Oppervlakte],Inventarisatie[Locatie],$BC35,Inventarisatie[Freq. Ma-Vr],$C35,Inventarisatie[Categorie],H$2)</f>
        <v>0</v>
      </c>
      <c r="I35" s="476">
        <f ca="1">SUMIFS(Inventarisatie[Oppervlakte],Inventarisatie[Locatie],$BC35,Inventarisatie[Freq. Ma-Vr],$C35,Inventarisatie[Categorie],I$2)</f>
        <v>0</v>
      </c>
      <c r="J35" s="476">
        <f ca="1">SUMIFS(Inventarisatie[Oppervlakte],Inventarisatie[Locatie],$BC35,Inventarisatie[Freq. Ma-Vr],$C35,Inventarisatie[Categorie],J$2)</f>
        <v>0</v>
      </c>
      <c r="K35" s="534"/>
      <c r="L35" s="316" t="b">
        <f>IF(_xlfn.XLOOKUP(BC35,Tabel2[Locatiecode],Tabel2[Type locatie],"",0)="vaccin",TRUE,FALSE)</f>
        <v>1</v>
      </c>
      <c r="M35" s="202"/>
      <c r="N35" s="202"/>
      <c r="O35" s="202"/>
      <c r="P35" s="202"/>
      <c r="Q35" s="202"/>
      <c r="BB35" s="9">
        <v>33</v>
      </c>
      <c r="BC35" s="9" t="str">
        <v>ALK-OLW</v>
      </c>
      <c r="BD35" s="9" t="str">
        <f t="shared" ca="1" si="0"/>
        <v/>
      </c>
    </row>
    <row r="36" spans="1:56" ht="0.2" customHeight="1" x14ac:dyDescent="0.2">
      <c r="A36" s="172" cm="1">
        <f t="array" aca="1" ref="A36" ca="1">_xlfn.IFS(SUM(D36:J36)&gt;0,1,OFFSET($K36,-MOD(BB36+4,5),0)=0,2,TRUE,0)</f>
        <v>0</v>
      </c>
      <c r="B36" s="532"/>
      <c r="C36" s="473">
        <v>104</v>
      </c>
      <c r="D36" s="474">
        <f ca="1">SUMIFS(Inventarisatie[Oppervlakte],Inventarisatie[Locatie],$BC36,Inventarisatie[Freq. Ma-Vr],$C36,Inventarisatie[Categorie],D$2)</f>
        <v>0</v>
      </c>
      <c r="E36" s="475">
        <f ca="1">SUMIFS(Inventarisatie[Oppervlakte],Inventarisatie[Locatie],$BC36,Inventarisatie[Freq. Ma-Vr],$C36,Inventarisatie[Categorie],E$2)</f>
        <v>0</v>
      </c>
      <c r="F36" s="475">
        <f ca="1">SUMIFS(Inventarisatie[Oppervlakte],Inventarisatie[Locatie],$BC36,Inventarisatie[Freq. Ma-Vr],$C36,Inventarisatie[Categorie],F$2)</f>
        <v>0</v>
      </c>
      <c r="G36" s="475">
        <f ca="1">SUMIFS(Inventarisatie[Oppervlakte],Inventarisatie[Locatie],$BC36,Inventarisatie[Freq. Ma-Vr],$C36,Inventarisatie[Categorie],G$2)</f>
        <v>0</v>
      </c>
      <c r="H36" s="475">
        <f ca="1">SUMIFS(Inventarisatie[Oppervlakte],Inventarisatie[Locatie],$BC36,Inventarisatie[Freq. Ma-Vr],$C36,Inventarisatie[Categorie],H$2)</f>
        <v>0</v>
      </c>
      <c r="I36" s="476">
        <f ca="1">SUMIFS(Inventarisatie[Oppervlakte],Inventarisatie[Locatie],$BC36,Inventarisatie[Freq. Ma-Vr],$C36,Inventarisatie[Categorie],I$2)</f>
        <v>0</v>
      </c>
      <c r="J36" s="476">
        <f ca="1">SUMIFS(Inventarisatie[Oppervlakte],Inventarisatie[Locatie],$BC36,Inventarisatie[Freq. Ma-Vr],$C36,Inventarisatie[Categorie],J$2)</f>
        <v>0</v>
      </c>
      <c r="K36" s="534"/>
      <c r="L36" s="316" t="b">
        <f>IF(_xlfn.XLOOKUP(BC36,Tabel2[Locatiecode],Tabel2[Type locatie],"",0)="vaccin",TRUE,FALSE)</f>
        <v>1</v>
      </c>
      <c r="BB36" s="9">
        <v>34</v>
      </c>
      <c r="BC36" s="9" t="str">
        <v>ALK-OLW</v>
      </c>
      <c r="BD36" s="9" t="str">
        <f t="shared" ca="1" si="0"/>
        <v/>
      </c>
    </row>
    <row r="37" spans="1:56" ht="0.2" customHeight="1" x14ac:dyDescent="0.2">
      <c r="A37" s="172" cm="1">
        <f t="array" aca="1" ref="A37" ca="1">_xlfn.IFS(SUM(D37:J37)&gt;0,1,OFFSET($K37,-MOD(BB37+4,5),0)=0,2,TRUE,0)</f>
        <v>0</v>
      </c>
      <c r="B37" s="532"/>
      <c r="C37" s="473">
        <v>52</v>
      </c>
      <c r="D37" s="474">
        <f ca="1">SUMIFS(Inventarisatie[Oppervlakte],Inventarisatie[Locatie],$BC37,Inventarisatie[Freq. Ma-Vr],$C37,Inventarisatie[Categorie],D$2)</f>
        <v>0</v>
      </c>
      <c r="E37" s="475">
        <f ca="1">SUMIFS(Inventarisatie[Oppervlakte],Inventarisatie[Locatie],$BC37,Inventarisatie[Freq. Ma-Vr],$C37,Inventarisatie[Categorie],E$2)</f>
        <v>0</v>
      </c>
      <c r="F37" s="475">
        <f ca="1">SUMIFS(Inventarisatie[Oppervlakte],Inventarisatie[Locatie],$BC37,Inventarisatie[Freq. Ma-Vr],$C37,Inventarisatie[Categorie],F$2)</f>
        <v>0</v>
      </c>
      <c r="G37" s="475">
        <f ca="1">SUMIFS(Inventarisatie[Oppervlakte],Inventarisatie[Locatie],$BC37,Inventarisatie[Freq. Ma-Vr],$C37,Inventarisatie[Categorie],G$2)</f>
        <v>0</v>
      </c>
      <c r="H37" s="475">
        <f ca="1">SUMIFS(Inventarisatie[Oppervlakte],Inventarisatie[Locatie],$BC37,Inventarisatie[Freq. Ma-Vr],$C37,Inventarisatie[Categorie],H$2)</f>
        <v>0</v>
      </c>
      <c r="I37" s="476">
        <f ca="1">SUMIFS(Inventarisatie[Oppervlakte],Inventarisatie[Locatie],$BC37,Inventarisatie[Freq. Ma-Vr],$C37,Inventarisatie[Categorie],I$2)</f>
        <v>0</v>
      </c>
      <c r="J37" s="476">
        <f ca="1">SUMIFS(Inventarisatie[Oppervlakte],Inventarisatie[Locatie],$BC37,Inventarisatie[Freq. Ma-Vr],$C37,Inventarisatie[Categorie],J$2)</f>
        <v>0</v>
      </c>
      <c r="K37" s="534"/>
      <c r="L37" s="316" t="b">
        <f>IF(_xlfn.XLOOKUP(BC37,Tabel2[Locatiecode],Tabel2[Type locatie],"",0)="vaccin",TRUE,FALSE)</f>
        <v>1</v>
      </c>
      <c r="M37" s="202"/>
      <c r="N37" s="202"/>
      <c r="O37" s="202"/>
      <c r="P37" s="202"/>
      <c r="Q37" s="202"/>
      <c r="BB37" s="9">
        <v>35</v>
      </c>
      <c r="BC37" s="9" t="str">
        <v>ALK-OLW</v>
      </c>
      <c r="BD37" s="9" t="str">
        <f t="shared" ca="1" si="0"/>
        <v/>
      </c>
    </row>
    <row r="38" spans="1:56" ht="0.2" customHeight="1" x14ac:dyDescent="0.2">
      <c r="A38" s="172" cm="1">
        <f t="array" aca="1" ref="A38" ca="1">_xlfn.IFS(SUM(D38:J38)&gt;0,1,OFFSET($K38,-MOD(BB38+4,5),0)=0,2,TRUE,0)</f>
        <v>2</v>
      </c>
      <c r="B38" s="532"/>
      <c r="C38" s="473">
        <v>4</v>
      </c>
      <c r="D38" s="474">
        <f ca="1">SUMIFS(Inventarisatie[Oppervlakte],Inventarisatie[Locatie],$BC38,Inventarisatie[Freq. Ma-Vr],$C38,Inventarisatie[Categorie],D$2)</f>
        <v>0</v>
      </c>
      <c r="E38" s="475">
        <f ca="1">SUMIFS(Inventarisatie[Oppervlakte],Inventarisatie[Locatie],$BC38,Inventarisatie[Freq. Ma-Vr],$C38,Inventarisatie[Categorie],E$2)</f>
        <v>0</v>
      </c>
      <c r="F38" s="475">
        <f ca="1">SUMIFS(Inventarisatie[Oppervlakte],Inventarisatie[Locatie],$BC38,Inventarisatie[Freq. Ma-Vr],$C38,Inventarisatie[Categorie],F$2)</f>
        <v>0</v>
      </c>
      <c r="G38" s="475">
        <f ca="1">SUMIFS(Inventarisatie[Oppervlakte],Inventarisatie[Locatie],$BC38,Inventarisatie[Freq. Ma-Vr],$C38,Inventarisatie[Categorie],G$2)</f>
        <v>0</v>
      </c>
      <c r="H38" s="475">
        <f ca="1">SUMIFS(Inventarisatie[Oppervlakte],Inventarisatie[Locatie],$BC38,Inventarisatie[Freq. Ma-Vr],$C38,Inventarisatie[Categorie],H$2)</f>
        <v>0</v>
      </c>
      <c r="I38" s="476">
        <f ca="1">SUMIFS(Inventarisatie[Oppervlakte],Inventarisatie[Locatie],$BC38,Inventarisatie[Freq. Ma-Vr],$C38,Inventarisatie[Categorie],I$2)</f>
        <v>0</v>
      </c>
      <c r="J38" s="476">
        <f ca="1">SUMIFS(Inventarisatie[Oppervlakte],Inventarisatie[Locatie],$BC38,Inventarisatie[Freq. Ma-Vr],$C38,Inventarisatie[Categorie],J$2)</f>
        <v>0</v>
      </c>
      <c r="K38" s="534"/>
      <c r="L38" s="316" t="b">
        <f>IF(_xlfn.XLOOKUP(BC38,Tabel2[Locatiecode],Tabel2[Type locatie],"",0)="vaccin",TRUE,FALSE)</f>
        <v>1</v>
      </c>
      <c r="BB38" s="9">
        <v>36</v>
      </c>
      <c r="BC38" s="9" t="str">
        <v>ALK-OLW</v>
      </c>
      <c r="BD38" s="9" t="str">
        <f t="shared" ca="1" si="0"/>
        <v/>
      </c>
    </row>
    <row r="39" spans="1:56" ht="15" customHeight="1" x14ac:dyDescent="0.2">
      <c r="A39" s="172" cm="1">
        <f t="array" aca="1" ref="A39" ca="1">_xlfn.IFS(SUM(D39:J39)&gt;0,1,OFFSET($K39,-MOD(BB39+4,5),0)=0,2,TRUE,0)</f>
        <v>1</v>
      </c>
      <c r="B39" s="532" t="str">
        <f>BC39</f>
        <v>ALK-VAS</v>
      </c>
      <c r="C39" s="473">
        <v>255</v>
      </c>
      <c r="D39" s="474">
        <f ca="1">SUMIFS(Inventarisatie[Oppervlakte],Inventarisatie[Locatie],$BC39,Inventarisatie[Freq. Ma-Vr],$C39,Inventarisatie[Categorie],D$2)</f>
        <v>0</v>
      </c>
      <c r="E39" s="475">
        <f ca="1">SUMIFS(Inventarisatie[Oppervlakte],Inventarisatie[Locatie],$BC39,Inventarisatie[Freq. Ma-Vr],$C39,Inventarisatie[Categorie],E$2)</f>
        <v>33.1</v>
      </c>
      <c r="F39" s="475">
        <f ca="1">SUMIFS(Inventarisatie[Oppervlakte],Inventarisatie[Locatie],$BC39,Inventarisatie[Freq. Ma-Vr],$C39,Inventarisatie[Categorie],F$2)</f>
        <v>84.5</v>
      </c>
      <c r="G39" s="475">
        <f ca="1">SUMIFS(Inventarisatie[Oppervlakte],Inventarisatie[Locatie],$BC39,Inventarisatie[Freq. Ma-Vr],$C39,Inventarisatie[Categorie],G$2)</f>
        <v>0</v>
      </c>
      <c r="H39" s="475">
        <f ca="1">SUMIFS(Inventarisatie[Oppervlakte],Inventarisatie[Locatie],$BC39,Inventarisatie[Freq. Ma-Vr],$C39,Inventarisatie[Categorie],H$2)</f>
        <v>5.2</v>
      </c>
      <c r="I39" s="476">
        <f ca="1">SUMIFS(Inventarisatie[Oppervlakte],Inventarisatie[Locatie],$BC39,Inventarisatie[Freq. Ma-Vr],$C39,Inventarisatie[Categorie],I$2)</f>
        <v>41.2</v>
      </c>
      <c r="J39" s="476">
        <f ca="1">SUMIFS(Inventarisatie[Oppervlakte],Inventarisatie[Locatie],$BC39,Inventarisatie[Freq. Ma-Vr],$C39,Inventarisatie[Categorie],J$2)</f>
        <v>0</v>
      </c>
      <c r="K39" s="533">
        <f ca="1">SUM(D39:J44)</f>
        <v>164</v>
      </c>
      <c r="L39" s="316" t="b">
        <f>IF(_xlfn.XLOOKUP(BC39,Tabel2[Locatiecode],Tabel2[Type locatie],"",0)="vaccin",TRUE,FALSE)</f>
        <v>0</v>
      </c>
      <c r="M39" s="202"/>
      <c r="N39" s="202"/>
      <c r="O39" s="202"/>
      <c r="P39" s="202"/>
      <c r="Q39" s="202"/>
      <c r="BB39" s="9">
        <v>37</v>
      </c>
      <c r="BC39" s="9" t="str">
        <v>ALK-VAS</v>
      </c>
      <c r="BD39" s="9">
        <f t="shared" ca="1" si="0"/>
        <v>255</v>
      </c>
    </row>
    <row r="40" spans="1:56" ht="0.2" customHeight="1" x14ac:dyDescent="0.2">
      <c r="A40" s="172" cm="1">
        <f t="array" aca="1" ref="A40" ca="1">_xlfn.IFS(SUM(D40:J40)&gt;0,1,OFFSET($K40,-MOD(BB40+4,5),0)=0,2,TRUE,0)</f>
        <v>2</v>
      </c>
      <c r="B40" s="532"/>
      <c r="C40" s="473">
        <v>204</v>
      </c>
      <c r="D40" s="474">
        <f ca="1">SUMIFS(Inventarisatie[Oppervlakte],Inventarisatie[Locatie],$BC40,Inventarisatie[Freq. Ma-Vr],$C40,Inventarisatie[Categorie],D$2)</f>
        <v>0</v>
      </c>
      <c r="E40" s="475">
        <f ca="1">SUMIFS(Inventarisatie[Oppervlakte],Inventarisatie[Locatie],$BC40,Inventarisatie[Freq. Ma-Vr],$C40,Inventarisatie[Categorie],E$2)</f>
        <v>0</v>
      </c>
      <c r="F40" s="475">
        <f ca="1">SUMIFS(Inventarisatie[Oppervlakte],Inventarisatie[Locatie],$BC40,Inventarisatie[Freq. Ma-Vr],$C40,Inventarisatie[Categorie],F$2)</f>
        <v>0</v>
      </c>
      <c r="G40" s="475">
        <f ca="1">SUMIFS(Inventarisatie[Oppervlakte],Inventarisatie[Locatie],$BC40,Inventarisatie[Freq. Ma-Vr],$C40,Inventarisatie[Categorie],G$2)</f>
        <v>0</v>
      </c>
      <c r="H40" s="475">
        <f ca="1">SUMIFS(Inventarisatie[Oppervlakte],Inventarisatie[Locatie],$BC40,Inventarisatie[Freq. Ma-Vr],$C40,Inventarisatie[Categorie],H$2)</f>
        <v>0</v>
      </c>
      <c r="I40" s="476">
        <f ca="1">SUMIFS(Inventarisatie[Oppervlakte],Inventarisatie[Locatie],$BC40,Inventarisatie[Freq. Ma-Vr],$C40,Inventarisatie[Categorie],I$2)</f>
        <v>0</v>
      </c>
      <c r="J40" s="476">
        <f ca="1">SUMIFS(Inventarisatie[Oppervlakte],Inventarisatie[Locatie],$BC40,Inventarisatie[Freq. Ma-Vr],$C40,Inventarisatie[Categorie],J$2)</f>
        <v>0</v>
      </c>
      <c r="K40" s="533"/>
      <c r="L40" s="316" t="b">
        <f>IF(_xlfn.XLOOKUP(BC40,Tabel2[Locatiecode],Tabel2[Type locatie],"",0)="vaccin",TRUE,FALSE)</f>
        <v>0</v>
      </c>
      <c r="M40" s="202"/>
      <c r="N40" s="202"/>
      <c r="O40" s="202"/>
      <c r="P40" s="202"/>
      <c r="Q40" s="202"/>
      <c r="BB40" s="9">
        <v>38</v>
      </c>
      <c r="BC40" s="9" t="str">
        <v>ALK-VAS</v>
      </c>
      <c r="BD40" s="9" t="str">
        <f t="shared" ca="1" si="0"/>
        <v/>
      </c>
    </row>
    <row r="41" spans="1:56" ht="0.2" customHeight="1" x14ac:dyDescent="0.2">
      <c r="A41" s="172" cm="1">
        <f t="array" aca="1" ref="A41" ca="1">_xlfn.IFS(SUM(D41:J41)&gt;0,1,OFFSET($K41,-MOD(BB41+4,5),0)=0,2,TRUE,0)</f>
        <v>2</v>
      </c>
      <c r="B41" s="532"/>
      <c r="C41" s="473">
        <v>156</v>
      </c>
      <c r="D41" s="474">
        <f ca="1">SUMIFS(Inventarisatie[Oppervlakte],Inventarisatie[Locatie],$BC41,Inventarisatie[Freq. Ma-Vr],$C41,Inventarisatie[Categorie],D$2)</f>
        <v>0</v>
      </c>
      <c r="E41" s="475">
        <f ca="1">SUMIFS(Inventarisatie[Oppervlakte],Inventarisatie[Locatie],$BC41,Inventarisatie[Freq. Ma-Vr],$C41,Inventarisatie[Categorie],E$2)</f>
        <v>0</v>
      </c>
      <c r="F41" s="475">
        <f ca="1">SUMIFS(Inventarisatie[Oppervlakte],Inventarisatie[Locatie],$BC41,Inventarisatie[Freq. Ma-Vr],$C41,Inventarisatie[Categorie],F$2)</f>
        <v>0</v>
      </c>
      <c r="G41" s="475">
        <f ca="1">SUMIFS(Inventarisatie[Oppervlakte],Inventarisatie[Locatie],$BC41,Inventarisatie[Freq. Ma-Vr],$C41,Inventarisatie[Categorie],G$2)</f>
        <v>0</v>
      </c>
      <c r="H41" s="475">
        <f ca="1">SUMIFS(Inventarisatie[Oppervlakte],Inventarisatie[Locatie],$BC41,Inventarisatie[Freq. Ma-Vr],$C41,Inventarisatie[Categorie],H$2)</f>
        <v>0</v>
      </c>
      <c r="I41" s="476">
        <f ca="1">SUMIFS(Inventarisatie[Oppervlakte],Inventarisatie[Locatie],$BC41,Inventarisatie[Freq. Ma-Vr],$C41,Inventarisatie[Categorie],I$2)</f>
        <v>0</v>
      </c>
      <c r="J41" s="476">
        <f ca="1">SUMIFS(Inventarisatie[Oppervlakte],Inventarisatie[Locatie],$BC41,Inventarisatie[Freq. Ma-Vr],$C41,Inventarisatie[Categorie],J$2)</f>
        <v>0</v>
      </c>
      <c r="K41" s="534"/>
      <c r="L41" s="316" t="b">
        <f>IF(_xlfn.XLOOKUP(BC41,Tabel2[Locatiecode],Tabel2[Type locatie],"",0)="vaccin",TRUE,FALSE)</f>
        <v>0</v>
      </c>
      <c r="BB41" s="9">
        <v>39</v>
      </c>
      <c r="BC41" s="9" t="str">
        <v>ALK-VAS</v>
      </c>
      <c r="BD41" s="9" t="str">
        <f t="shared" ca="1" si="0"/>
        <v/>
      </c>
    </row>
    <row r="42" spans="1:56" ht="0.2" customHeight="1" x14ac:dyDescent="0.2">
      <c r="A42" s="172" cm="1">
        <f t="array" aca="1" ref="A42" ca="1">_xlfn.IFS(SUM(D42:J42)&gt;0,1,OFFSET($K42,-MOD(BB42+4,5),0)=0,2,TRUE,0)</f>
        <v>2</v>
      </c>
      <c r="B42" s="532"/>
      <c r="C42" s="473">
        <v>104</v>
      </c>
      <c r="D42" s="474">
        <f ca="1">SUMIFS(Inventarisatie[Oppervlakte],Inventarisatie[Locatie],$BC42,Inventarisatie[Freq. Ma-Vr],$C42,Inventarisatie[Categorie],D$2)</f>
        <v>0</v>
      </c>
      <c r="E42" s="475">
        <f ca="1">SUMIFS(Inventarisatie[Oppervlakte],Inventarisatie[Locatie],$BC42,Inventarisatie[Freq. Ma-Vr],$C42,Inventarisatie[Categorie],E$2)</f>
        <v>0</v>
      </c>
      <c r="F42" s="475">
        <f ca="1">SUMIFS(Inventarisatie[Oppervlakte],Inventarisatie[Locatie],$BC42,Inventarisatie[Freq. Ma-Vr],$C42,Inventarisatie[Categorie],F$2)</f>
        <v>0</v>
      </c>
      <c r="G42" s="475">
        <f ca="1">SUMIFS(Inventarisatie[Oppervlakte],Inventarisatie[Locatie],$BC42,Inventarisatie[Freq. Ma-Vr],$C42,Inventarisatie[Categorie],G$2)</f>
        <v>0</v>
      </c>
      <c r="H42" s="475">
        <f ca="1">SUMIFS(Inventarisatie[Oppervlakte],Inventarisatie[Locatie],$BC42,Inventarisatie[Freq. Ma-Vr],$C42,Inventarisatie[Categorie],H$2)</f>
        <v>0</v>
      </c>
      <c r="I42" s="476">
        <f ca="1">SUMIFS(Inventarisatie[Oppervlakte],Inventarisatie[Locatie],$BC42,Inventarisatie[Freq. Ma-Vr],$C42,Inventarisatie[Categorie],I$2)</f>
        <v>0</v>
      </c>
      <c r="J42" s="476">
        <f ca="1">SUMIFS(Inventarisatie[Oppervlakte],Inventarisatie[Locatie],$BC42,Inventarisatie[Freq. Ma-Vr],$C42,Inventarisatie[Categorie],J$2)</f>
        <v>0</v>
      </c>
      <c r="K42" s="534"/>
      <c r="L42" s="316" t="b">
        <f>IF(_xlfn.XLOOKUP(BC42,Tabel2[Locatiecode],Tabel2[Type locatie],"",0)="vaccin",TRUE,FALSE)</f>
        <v>0</v>
      </c>
      <c r="M42" s="202"/>
      <c r="N42" s="202"/>
      <c r="O42" s="202"/>
      <c r="P42" s="202"/>
      <c r="Q42" s="202"/>
      <c r="BB42" s="9">
        <v>40</v>
      </c>
      <c r="BC42" s="9" t="str">
        <v>ALK-VAS</v>
      </c>
      <c r="BD42" s="9" t="str">
        <f t="shared" ca="1" si="0"/>
        <v/>
      </c>
    </row>
    <row r="43" spans="1:56" ht="0.2" customHeight="1" x14ac:dyDescent="0.2">
      <c r="A43" s="172" cm="1">
        <f t="array" aca="1" ref="A43" ca="1">_xlfn.IFS(SUM(D43:J43)&gt;0,1,OFFSET($K43,-MOD(BB43+4,5),0)=0,2,TRUE,0)</f>
        <v>2</v>
      </c>
      <c r="B43" s="532"/>
      <c r="C43" s="473">
        <v>52</v>
      </c>
      <c r="D43" s="474">
        <f ca="1">SUMIFS(Inventarisatie[Oppervlakte],Inventarisatie[Locatie],$BC43,Inventarisatie[Freq. Ma-Vr],$C43,Inventarisatie[Categorie],D$2)</f>
        <v>0</v>
      </c>
      <c r="E43" s="475">
        <f ca="1">SUMIFS(Inventarisatie[Oppervlakte],Inventarisatie[Locatie],$BC43,Inventarisatie[Freq. Ma-Vr],$C43,Inventarisatie[Categorie],E$2)</f>
        <v>0</v>
      </c>
      <c r="F43" s="475">
        <f ca="1">SUMIFS(Inventarisatie[Oppervlakte],Inventarisatie[Locatie],$BC43,Inventarisatie[Freq. Ma-Vr],$C43,Inventarisatie[Categorie],F$2)</f>
        <v>0</v>
      </c>
      <c r="G43" s="475">
        <f ca="1">SUMIFS(Inventarisatie[Oppervlakte],Inventarisatie[Locatie],$BC43,Inventarisatie[Freq. Ma-Vr],$C43,Inventarisatie[Categorie],G$2)</f>
        <v>0</v>
      </c>
      <c r="H43" s="475">
        <f ca="1">SUMIFS(Inventarisatie[Oppervlakte],Inventarisatie[Locatie],$BC43,Inventarisatie[Freq. Ma-Vr],$C43,Inventarisatie[Categorie],H$2)</f>
        <v>0</v>
      </c>
      <c r="I43" s="476">
        <f ca="1">SUMIFS(Inventarisatie[Oppervlakte],Inventarisatie[Locatie],$BC43,Inventarisatie[Freq. Ma-Vr],$C43,Inventarisatie[Categorie],I$2)</f>
        <v>0</v>
      </c>
      <c r="J43" s="476">
        <f ca="1">SUMIFS(Inventarisatie[Oppervlakte],Inventarisatie[Locatie],$BC43,Inventarisatie[Freq. Ma-Vr],$C43,Inventarisatie[Categorie],J$2)</f>
        <v>0</v>
      </c>
      <c r="K43" s="534"/>
      <c r="L43" s="316" t="b">
        <f>IF(_xlfn.XLOOKUP(BC43,Tabel2[Locatiecode],Tabel2[Type locatie],"",0)="vaccin",TRUE,FALSE)</f>
        <v>0</v>
      </c>
      <c r="BB43" s="9">
        <v>41</v>
      </c>
      <c r="BC43" s="9" t="str">
        <v>ALK-VAS</v>
      </c>
      <c r="BD43" s="9" t="str">
        <f t="shared" ca="1" si="0"/>
        <v/>
      </c>
    </row>
    <row r="44" spans="1:56" ht="0.2" customHeight="1" x14ac:dyDescent="0.2">
      <c r="A44" s="172" cm="1">
        <f t="array" aca="1" ref="A44" ca="1">_xlfn.IFS(SUM(D44:J44)&gt;0,1,OFFSET($K44,-MOD(BB44+4,5),0)=0,2,TRUE,0)</f>
        <v>2</v>
      </c>
      <c r="B44" s="532"/>
      <c r="C44" s="473">
        <v>4</v>
      </c>
      <c r="D44" s="474">
        <f ca="1">SUMIFS(Inventarisatie[Oppervlakte],Inventarisatie[Locatie],$BC44,Inventarisatie[Freq. Ma-Vr],$C44,Inventarisatie[Categorie],D$2)</f>
        <v>0</v>
      </c>
      <c r="E44" s="475">
        <f ca="1">SUMIFS(Inventarisatie[Oppervlakte],Inventarisatie[Locatie],$BC44,Inventarisatie[Freq. Ma-Vr],$C44,Inventarisatie[Categorie],E$2)</f>
        <v>0</v>
      </c>
      <c r="F44" s="475">
        <f ca="1">SUMIFS(Inventarisatie[Oppervlakte],Inventarisatie[Locatie],$BC44,Inventarisatie[Freq. Ma-Vr],$C44,Inventarisatie[Categorie],F$2)</f>
        <v>0</v>
      </c>
      <c r="G44" s="475">
        <f ca="1">SUMIFS(Inventarisatie[Oppervlakte],Inventarisatie[Locatie],$BC44,Inventarisatie[Freq. Ma-Vr],$C44,Inventarisatie[Categorie],G$2)</f>
        <v>0</v>
      </c>
      <c r="H44" s="475">
        <f ca="1">SUMIFS(Inventarisatie[Oppervlakte],Inventarisatie[Locatie],$BC44,Inventarisatie[Freq. Ma-Vr],$C44,Inventarisatie[Categorie],H$2)</f>
        <v>0</v>
      </c>
      <c r="I44" s="476">
        <f ca="1">SUMIFS(Inventarisatie[Oppervlakte],Inventarisatie[Locatie],$BC44,Inventarisatie[Freq. Ma-Vr],$C44,Inventarisatie[Categorie],I$2)</f>
        <v>0</v>
      </c>
      <c r="J44" s="476">
        <f ca="1">SUMIFS(Inventarisatie[Oppervlakte],Inventarisatie[Locatie],$BC44,Inventarisatie[Freq. Ma-Vr],$C44,Inventarisatie[Categorie],J$2)</f>
        <v>0</v>
      </c>
      <c r="K44" s="534"/>
      <c r="L44" s="316" t="b">
        <f>IF(_xlfn.XLOOKUP(BC44,Tabel2[Locatiecode],Tabel2[Type locatie],"",0)="vaccin",TRUE,FALSE)</f>
        <v>0</v>
      </c>
      <c r="BB44" s="9">
        <v>42</v>
      </c>
      <c r="BC44" s="9" t="str">
        <v>ALK-VAS</v>
      </c>
      <c r="BD44" s="9" t="str">
        <f t="shared" ca="1" si="0"/>
        <v/>
      </c>
    </row>
    <row r="45" spans="1:56" ht="15" customHeight="1" x14ac:dyDescent="0.2">
      <c r="A45" s="172" cm="1">
        <f t="array" aca="1" ref="A45" ca="1">_xlfn.IFS(SUM(D45:J45)&gt;0,1,OFFSET($K45,-MOD(BB45+4,5),0)=0,2,TRUE,0)</f>
        <v>1</v>
      </c>
      <c r="B45" s="532" t="str">
        <f>BC45</f>
        <v>ALK-ZEV</v>
      </c>
      <c r="C45" s="473">
        <v>255</v>
      </c>
      <c r="D45" s="474">
        <f ca="1">SUMIFS(Inventarisatie[Oppervlakte],Inventarisatie[Locatie],$BC45,Inventarisatie[Freq. Ma-Vr],$C45,Inventarisatie[Categorie],D$2)</f>
        <v>0</v>
      </c>
      <c r="E45" s="475">
        <f ca="1">SUMIFS(Inventarisatie[Oppervlakte],Inventarisatie[Locatie],$BC45,Inventarisatie[Freq. Ma-Vr],$C45,Inventarisatie[Categorie],E$2)</f>
        <v>0</v>
      </c>
      <c r="F45" s="475">
        <f ca="1">SUMIFS(Inventarisatie[Oppervlakte],Inventarisatie[Locatie],$BC45,Inventarisatie[Freq. Ma-Vr],$C45,Inventarisatie[Categorie],F$2)</f>
        <v>70.099999999999994</v>
      </c>
      <c r="G45" s="475">
        <f ca="1">SUMIFS(Inventarisatie[Oppervlakte],Inventarisatie[Locatie],$BC45,Inventarisatie[Freq. Ma-Vr],$C45,Inventarisatie[Categorie],G$2)</f>
        <v>3.5</v>
      </c>
      <c r="H45" s="475">
        <f ca="1">SUMIFS(Inventarisatie[Oppervlakte],Inventarisatie[Locatie],$BC45,Inventarisatie[Freq. Ma-Vr],$C45,Inventarisatie[Categorie],H$2)</f>
        <v>2</v>
      </c>
      <c r="I45" s="476">
        <f ca="1">SUMIFS(Inventarisatie[Oppervlakte],Inventarisatie[Locatie],$BC45,Inventarisatie[Freq. Ma-Vr],$C45,Inventarisatie[Categorie],I$2)</f>
        <v>3.8000000000000003</v>
      </c>
      <c r="J45" s="476">
        <f ca="1">SUMIFS(Inventarisatie[Oppervlakte],Inventarisatie[Locatie],$BC45,Inventarisatie[Freq. Ma-Vr],$C45,Inventarisatie[Categorie],J$2)</f>
        <v>0</v>
      </c>
      <c r="K45" s="533">
        <f ca="1">SUM(D45:J50)</f>
        <v>79.399999999999991</v>
      </c>
      <c r="L45" s="316" t="b">
        <f>IF(_xlfn.XLOOKUP(BC45,Tabel2[Locatiecode],Tabel2[Type locatie],"",0)="vaccin",TRUE,FALSE)</f>
        <v>0</v>
      </c>
      <c r="BB45" s="9">
        <v>43</v>
      </c>
      <c r="BC45" s="9" t="str">
        <v>ALK-ZEV</v>
      </c>
      <c r="BD45" s="9">
        <f t="shared" ca="1" si="0"/>
        <v>255</v>
      </c>
    </row>
    <row r="46" spans="1:56" ht="0.2" customHeight="1" x14ac:dyDescent="0.2">
      <c r="A46" s="172" cm="1">
        <f t="array" aca="1" ref="A46" ca="1">_xlfn.IFS(SUM(D46:J46)&gt;0,1,OFFSET($K46,-MOD(BB46+4,5),0)=0,2,TRUE,0)</f>
        <v>2</v>
      </c>
      <c r="B46" s="532"/>
      <c r="C46" s="473">
        <v>204</v>
      </c>
      <c r="D46" s="474">
        <f ca="1">SUMIFS(Inventarisatie[Oppervlakte],Inventarisatie[Locatie],$BC46,Inventarisatie[Freq. Ma-Vr],$C46,Inventarisatie[Categorie],D$2)</f>
        <v>0</v>
      </c>
      <c r="E46" s="475">
        <f ca="1">SUMIFS(Inventarisatie[Oppervlakte],Inventarisatie[Locatie],$BC46,Inventarisatie[Freq. Ma-Vr],$C46,Inventarisatie[Categorie],E$2)</f>
        <v>0</v>
      </c>
      <c r="F46" s="475">
        <f ca="1">SUMIFS(Inventarisatie[Oppervlakte],Inventarisatie[Locatie],$BC46,Inventarisatie[Freq. Ma-Vr],$C46,Inventarisatie[Categorie],F$2)</f>
        <v>0</v>
      </c>
      <c r="G46" s="475">
        <f ca="1">SUMIFS(Inventarisatie[Oppervlakte],Inventarisatie[Locatie],$BC46,Inventarisatie[Freq. Ma-Vr],$C46,Inventarisatie[Categorie],G$2)</f>
        <v>0</v>
      </c>
      <c r="H46" s="475">
        <f ca="1">SUMIFS(Inventarisatie[Oppervlakte],Inventarisatie[Locatie],$BC46,Inventarisatie[Freq. Ma-Vr],$C46,Inventarisatie[Categorie],H$2)</f>
        <v>0</v>
      </c>
      <c r="I46" s="476">
        <f ca="1">SUMIFS(Inventarisatie[Oppervlakte],Inventarisatie[Locatie],$BC46,Inventarisatie[Freq. Ma-Vr],$C46,Inventarisatie[Categorie],I$2)</f>
        <v>0</v>
      </c>
      <c r="J46" s="476">
        <f ca="1">SUMIFS(Inventarisatie[Oppervlakte],Inventarisatie[Locatie],$BC46,Inventarisatie[Freq. Ma-Vr],$C46,Inventarisatie[Categorie],J$2)</f>
        <v>0</v>
      </c>
      <c r="K46" s="533"/>
      <c r="L46" s="316" t="b">
        <f>IF(_xlfn.XLOOKUP(BC46,Tabel2[Locatiecode],Tabel2[Type locatie],"",0)="vaccin",TRUE,FALSE)</f>
        <v>0</v>
      </c>
      <c r="BB46" s="9">
        <v>44</v>
      </c>
      <c r="BC46" s="9" t="str">
        <v>ALK-ZEV</v>
      </c>
      <c r="BD46" s="9" t="str">
        <f t="shared" ca="1" si="0"/>
        <v/>
      </c>
    </row>
    <row r="47" spans="1:56" ht="0.2" customHeight="1" x14ac:dyDescent="0.2">
      <c r="A47" s="172" cm="1">
        <f t="array" aca="1" ref="A47" ca="1">_xlfn.IFS(SUM(D47:J47)&gt;0,1,OFFSET($K47,-MOD(BB47+4,5),0)=0,2,TRUE,0)</f>
        <v>2</v>
      </c>
      <c r="B47" s="532"/>
      <c r="C47" s="473">
        <v>156</v>
      </c>
      <c r="D47" s="474">
        <f ca="1">SUMIFS(Inventarisatie[Oppervlakte],Inventarisatie[Locatie],$BC47,Inventarisatie[Freq. Ma-Vr],$C47,Inventarisatie[Categorie],D$2)</f>
        <v>0</v>
      </c>
      <c r="E47" s="475">
        <f ca="1">SUMIFS(Inventarisatie[Oppervlakte],Inventarisatie[Locatie],$BC47,Inventarisatie[Freq. Ma-Vr],$C47,Inventarisatie[Categorie],E$2)</f>
        <v>0</v>
      </c>
      <c r="F47" s="475">
        <f ca="1">SUMIFS(Inventarisatie[Oppervlakte],Inventarisatie[Locatie],$BC47,Inventarisatie[Freq. Ma-Vr],$C47,Inventarisatie[Categorie],F$2)</f>
        <v>0</v>
      </c>
      <c r="G47" s="475">
        <f ca="1">SUMIFS(Inventarisatie[Oppervlakte],Inventarisatie[Locatie],$BC47,Inventarisatie[Freq. Ma-Vr],$C47,Inventarisatie[Categorie],G$2)</f>
        <v>0</v>
      </c>
      <c r="H47" s="475">
        <f ca="1">SUMIFS(Inventarisatie[Oppervlakte],Inventarisatie[Locatie],$BC47,Inventarisatie[Freq. Ma-Vr],$C47,Inventarisatie[Categorie],H$2)</f>
        <v>0</v>
      </c>
      <c r="I47" s="476">
        <f ca="1">SUMIFS(Inventarisatie[Oppervlakte],Inventarisatie[Locatie],$BC47,Inventarisatie[Freq. Ma-Vr],$C47,Inventarisatie[Categorie],I$2)</f>
        <v>0</v>
      </c>
      <c r="J47" s="476">
        <f ca="1">SUMIFS(Inventarisatie[Oppervlakte],Inventarisatie[Locatie],$BC47,Inventarisatie[Freq. Ma-Vr],$C47,Inventarisatie[Categorie],J$2)</f>
        <v>0</v>
      </c>
      <c r="K47" s="534"/>
      <c r="L47" s="316" t="b">
        <f>IF(_xlfn.XLOOKUP(BC47,Tabel2[Locatiecode],Tabel2[Type locatie],"",0)="vaccin",TRUE,FALSE)</f>
        <v>0</v>
      </c>
      <c r="M47" s="202"/>
      <c r="N47" s="202"/>
      <c r="O47" s="202"/>
      <c r="P47" s="202"/>
      <c r="Q47" s="202"/>
      <c r="BB47" s="9">
        <v>45</v>
      </c>
      <c r="BC47" s="9" t="str">
        <v>ALK-ZEV</v>
      </c>
      <c r="BD47" s="9" t="str">
        <f t="shared" ca="1" si="0"/>
        <v/>
      </c>
    </row>
    <row r="48" spans="1:56" ht="0.2" customHeight="1" x14ac:dyDescent="0.2">
      <c r="A48" s="172" cm="1">
        <f t="array" aca="1" ref="A48" ca="1">_xlfn.IFS(SUM(D48:J48)&gt;0,1,OFFSET($K48,-MOD(BB48+4,5),0)=0,2,TRUE,0)</f>
        <v>2</v>
      </c>
      <c r="B48" s="532"/>
      <c r="C48" s="473">
        <v>104</v>
      </c>
      <c r="D48" s="474">
        <f ca="1">SUMIFS(Inventarisatie[Oppervlakte],Inventarisatie[Locatie],$BC48,Inventarisatie[Freq. Ma-Vr],$C48,Inventarisatie[Categorie],D$2)</f>
        <v>0</v>
      </c>
      <c r="E48" s="475">
        <f ca="1">SUMIFS(Inventarisatie[Oppervlakte],Inventarisatie[Locatie],$BC48,Inventarisatie[Freq. Ma-Vr],$C48,Inventarisatie[Categorie],E$2)</f>
        <v>0</v>
      </c>
      <c r="F48" s="475">
        <f ca="1">SUMIFS(Inventarisatie[Oppervlakte],Inventarisatie[Locatie],$BC48,Inventarisatie[Freq. Ma-Vr],$C48,Inventarisatie[Categorie],F$2)</f>
        <v>0</v>
      </c>
      <c r="G48" s="475">
        <f ca="1">SUMIFS(Inventarisatie[Oppervlakte],Inventarisatie[Locatie],$BC48,Inventarisatie[Freq. Ma-Vr],$C48,Inventarisatie[Categorie],G$2)</f>
        <v>0</v>
      </c>
      <c r="H48" s="475">
        <f ca="1">SUMIFS(Inventarisatie[Oppervlakte],Inventarisatie[Locatie],$BC48,Inventarisatie[Freq. Ma-Vr],$C48,Inventarisatie[Categorie],H$2)</f>
        <v>0</v>
      </c>
      <c r="I48" s="476">
        <f ca="1">SUMIFS(Inventarisatie[Oppervlakte],Inventarisatie[Locatie],$BC48,Inventarisatie[Freq. Ma-Vr],$C48,Inventarisatie[Categorie],I$2)</f>
        <v>0</v>
      </c>
      <c r="J48" s="476">
        <f ca="1">SUMIFS(Inventarisatie[Oppervlakte],Inventarisatie[Locatie],$BC48,Inventarisatie[Freq. Ma-Vr],$C48,Inventarisatie[Categorie],J$2)</f>
        <v>0</v>
      </c>
      <c r="K48" s="534"/>
      <c r="L48" s="316" t="b">
        <f>IF(_xlfn.XLOOKUP(BC48,Tabel2[Locatiecode],Tabel2[Type locatie],"",0)="vaccin",TRUE,FALSE)</f>
        <v>0</v>
      </c>
      <c r="BB48" s="9">
        <v>46</v>
      </c>
      <c r="BC48" s="9" t="str">
        <v>ALK-ZEV</v>
      </c>
      <c r="BD48" s="9" t="str">
        <f t="shared" ca="1" si="0"/>
        <v/>
      </c>
    </row>
    <row r="49" spans="1:56" ht="0.2" customHeight="1" x14ac:dyDescent="0.2">
      <c r="A49" s="172" cm="1">
        <f t="array" aca="1" ref="A49" ca="1">_xlfn.IFS(SUM(D49:J49)&gt;0,1,OFFSET($K49,-MOD(BB49+4,5),0)=0,2,TRUE,0)</f>
        <v>2</v>
      </c>
      <c r="B49" s="532"/>
      <c r="C49" s="473">
        <v>52</v>
      </c>
      <c r="D49" s="474">
        <f ca="1">SUMIFS(Inventarisatie[Oppervlakte],Inventarisatie[Locatie],$BC49,Inventarisatie[Freq. Ma-Vr],$C49,Inventarisatie[Categorie],D$2)</f>
        <v>0</v>
      </c>
      <c r="E49" s="475">
        <f ca="1">SUMIFS(Inventarisatie[Oppervlakte],Inventarisatie[Locatie],$BC49,Inventarisatie[Freq. Ma-Vr],$C49,Inventarisatie[Categorie],E$2)</f>
        <v>0</v>
      </c>
      <c r="F49" s="475">
        <f ca="1">SUMIFS(Inventarisatie[Oppervlakte],Inventarisatie[Locatie],$BC49,Inventarisatie[Freq. Ma-Vr],$C49,Inventarisatie[Categorie],F$2)</f>
        <v>0</v>
      </c>
      <c r="G49" s="475">
        <f ca="1">SUMIFS(Inventarisatie[Oppervlakte],Inventarisatie[Locatie],$BC49,Inventarisatie[Freq. Ma-Vr],$C49,Inventarisatie[Categorie],G$2)</f>
        <v>0</v>
      </c>
      <c r="H49" s="475">
        <f ca="1">SUMIFS(Inventarisatie[Oppervlakte],Inventarisatie[Locatie],$BC49,Inventarisatie[Freq. Ma-Vr],$C49,Inventarisatie[Categorie],H$2)</f>
        <v>0</v>
      </c>
      <c r="I49" s="476">
        <f ca="1">SUMIFS(Inventarisatie[Oppervlakte],Inventarisatie[Locatie],$BC49,Inventarisatie[Freq. Ma-Vr],$C49,Inventarisatie[Categorie],I$2)</f>
        <v>0</v>
      </c>
      <c r="J49" s="476">
        <f ca="1">SUMIFS(Inventarisatie[Oppervlakte],Inventarisatie[Locatie],$BC49,Inventarisatie[Freq. Ma-Vr],$C49,Inventarisatie[Categorie],J$2)</f>
        <v>0</v>
      </c>
      <c r="K49" s="534"/>
      <c r="L49" s="316" t="b">
        <f>IF(_xlfn.XLOOKUP(BC49,Tabel2[Locatiecode],Tabel2[Type locatie],"",0)="vaccin",TRUE,FALSE)</f>
        <v>0</v>
      </c>
      <c r="BB49" s="9">
        <v>47</v>
      </c>
      <c r="BC49" s="9" t="str">
        <v>ALK-ZEV</v>
      </c>
      <c r="BD49" s="9" t="str">
        <f t="shared" ca="1" si="0"/>
        <v/>
      </c>
    </row>
    <row r="50" spans="1:56" ht="0.2" customHeight="1" x14ac:dyDescent="0.2">
      <c r="A50" s="172" cm="1">
        <f t="array" aca="1" ref="A50" ca="1">_xlfn.IFS(SUM(D50:J50)&gt;0,1,OFFSET($K50,-MOD(BB50+4,5),0)=0,2,TRUE,0)</f>
        <v>2</v>
      </c>
      <c r="B50" s="532"/>
      <c r="C50" s="473">
        <v>4</v>
      </c>
      <c r="D50" s="474">
        <f ca="1">SUMIFS(Inventarisatie[Oppervlakte],Inventarisatie[Locatie],$BC50,Inventarisatie[Freq. Ma-Vr],$C50,Inventarisatie[Categorie],D$2)</f>
        <v>0</v>
      </c>
      <c r="E50" s="475">
        <f ca="1">SUMIFS(Inventarisatie[Oppervlakte],Inventarisatie[Locatie],$BC50,Inventarisatie[Freq. Ma-Vr],$C50,Inventarisatie[Categorie],E$2)</f>
        <v>0</v>
      </c>
      <c r="F50" s="475">
        <f ca="1">SUMIFS(Inventarisatie[Oppervlakte],Inventarisatie[Locatie],$BC50,Inventarisatie[Freq. Ma-Vr],$C50,Inventarisatie[Categorie],F$2)</f>
        <v>0</v>
      </c>
      <c r="G50" s="475">
        <f ca="1">SUMIFS(Inventarisatie[Oppervlakte],Inventarisatie[Locatie],$BC50,Inventarisatie[Freq. Ma-Vr],$C50,Inventarisatie[Categorie],G$2)</f>
        <v>0</v>
      </c>
      <c r="H50" s="475">
        <f ca="1">SUMIFS(Inventarisatie[Oppervlakte],Inventarisatie[Locatie],$BC50,Inventarisatie[Freq. Ma-Vr],$C50,Inventarisatie[Categorie],H$2)</f>
        <v>0</v>
      </c>
      <c r="I50" s="476">
        <f ca="1">SUMIFS(Inventarisatie[Oppervlakte],Inventarisatie[Locatie],$BC50,Inventarisatie[Freq. Ma-Vr],$C50,Inventarisatie[Categorie],I$2)</f>
        <v>0</v>
      </c>
      <c r="J50" s="476">
        <f ca="1">SUMIFS(Inventarisatie[Oppervlakte],Inventarisatie[Locatie],$BC50,Inventarisatie[Freq. Ma-Vr],$C50,Inventarisatie[Categorie],J$2)</f>
        <v>0</v>
      </c>
      <c r="K50" s="534"/>
      <c r="L50" s="316" t="b">
        <f>IF(_xlfn.XLOOKUP(BC50,Tabel2[Locatiecode],Tabel2[Type locatie],"",0)="vaccin",TRUE,FALSE)</f>
        <v>0</v>
      </c>
      <c r="M50" s="202"/>
      <c r="N50" s="202"/>
      <c r="O50" s="202"/>
      <c r="P50" s="202"/>
      <c r="Q50" s="202"/>
      <c r="BB50" s="9">
        <v>48</v>
      </c>
      <c r="BC50" s="9" t="str">
        <v>ALK-ZEV</v>
      </c>
      <c r="BD50" s="9" t="str">
        <f t="shared" ca="1" si="0"/>
        <v/>
      </c>
    </row>
    <row r="51" spans="1:56" ht="15" customHeight="1" x14ac:dyDescent="0.2">
      <c r="A51" s="172" cm="1">
        <f t="array" aca="1" ref="A51" ca="1">_xlfn.IFS(SUM(D51:J51)&gt;0,1,OFFSET($K51,-MOD(BB51+4,5),0)=0,2,TRUE,0)</f>
        <v>1</v>
      </c>
      <c r="B51" s="532" t="str">
        <f>BC51</f>
        <v>ANP-DVW</v>
      </c>
      <c r="C51" s="473">
        <v>255</v>
      </c>
      <c r="D51" s="474">
        <f ca="1">SUMIFS(Inventarisatie[Oppervlakte],Inventarisatie[Locatie],$BC51,Inventarisatie[Freq. Ma-Vr],$C51,Inventarisatie[Categorie],D$2)</f>
        <v>40.299999999999997</v>
      </c>
      <c r="E51" s="475">
        <f ca="1">SUMIFS(Inventarisatie[Oppervlakte],Inventarisatie[Locatie],$BC51,Inventarisatie[Freq. Ma-Vr],$C51,Inventarisatie[Categorie],E$2)</f>
        <v>20.7</v>
      </c>
      <c r="F51" s="475">
        <f ca="1">SUMIFS(Inventarisatie[Oppervlakte],Inventarisatie[Locatie],$BC51,Inventarisatie[Freq. Ma-Vr],$C51,Inventarisatie[Categorie],F$2)</f>
        <v>40.599999999999994</v>
      </c>
      <c r="G51" s="475">
        <f ca="1">SUMIFS(Inventarisatie[Oppervlakte],Inventarisatie[Locatie],$BC51,Inventarisatie[Freq. Ma-Vr],$C51,Inventarisatie[Categorie],G$2)</f>
        <v>0</v>
      </c>
      <c r="H51" s="475">
        <f ca="1">SUMIFS(Inventarisatie[Oppervlakte],Inventarisatie[Locatie],$BC51,Inventarisatie[Freq. Ma-Vr],$C51,Inventarisatie[Categorie],H$2)</f>
        <v>1.2</v>
      </c>
      <c r="I51" s="476">
        <f ca="1">SUMIFS(Inventarisatie[Oppervlakte],Inventarisatie[Locatie],$BC51,Inventarisatie[Freq. Ma-Vr],$C51,Inventarisatie[Categorie],I$2)</f>
        <v>51.3</v>
      </c>
      <c r="J51" s="476">
        <f ca="1">SUMIFS(Inventarisatie[Oppervlakte],Inventarisatie[Locatie],$BC51,Inventarisatie[Freq. Ma-Vr],$C51,Inventarisatie[Categorie],J$2)</f>
        <v>0</v>
      </c>
      <c r="K51" s="533">
        <f ca="1">SUM(D51:J56)</f>
        <v>154.1</v>
      </c>
      <c r="L51" s="316" t="b">
        <f>IF(_xlfn.XLOOKUP(BC51,Tabel2[Locatiecode],Tabel2[Type locatie],"",0)="vaccin",TRUE,FALSE)</f>
        <v>0</v>
      </c>
      <c r="BB51" s="9">
        <v>49</v>
      </c>
      <c r="BC51" s="9" t="str">
        <v>ANP-DVW</v>
      </c>
      <c r="BD51" s="9">
        <f t="shared" ca="1" si="0"/>
        <v>255</v>
      </c>
    </row>
    <row r="52" spans="1:56" ht="0.2" customHeight="1" x14ac:dyDescent="0.2">
      <c r="A52" s="172" cm="1">
        <f t="array" aca="1" ref="A52" ca="1">_xlfn.IFS(SUM(D52:J52)&gt;0,1,OFFSET($K52,-MOD(BB52+4,5),0)=0,2,TRUE,0)</f>
        <v>2</v>
      </c>
      <c r="B52" s="532"/>
      <c r="C52" s="473">
        <v>204</v>
      </c>
      <c r="D52" s="474">
        <f ca="1">SUMIFS(Inventarisatie[Oppervlakte],Inventarisatie[Locatie],$BC52,Inventarisatie[Freq. Ma-Vr],$C52,Inventarisatie[Categorie],D$2)</f>
        <v>0</v>
      </c>
      <c r="E52" s="475">
        <f ca="1">SUMIFS(Inventarisatie[Oppervlakte],Inventarisatie[Locatie],$BC52,Inventarisatie[Freq. Ma-Vr],$C52,Inventarisatie[Categorie],E$2)</f>
        <v>0</v>
      </c>
      <c r="F52" s="475">
        <f ca="1">SUMIFS(Inventarisatie[Oppervlakte],Inventarisatie[Locatie],$BC52,Inventarisatie[Freq. Ma-Vr],$C52,Inventarisatie[Categorie],F$2)</f>
        <v>0</v>
      </c>
      <c r="G52" s="475">
        <f ca="1">SUMIFS(Inventarisatie[Oppervlakte],Inventarisatie[Locatie],$BC52,Inventarisatie[Freq. Ma-Vr],$C52,Inventarisatie[Categorie],G$2)</f>
        <v>0</v>
      </c>
      <c r="H52" s="475">
        <f ca="1">SUMIFS(Inventarisatie[Oppervlakte],Inventarisatie[Locatie],$BC52,Inventarisatie[Freq. Ma-Vr],$C52,Inventarisatie[Categorie],H$2)</f>
        <v>0</v>
      </c>
      <c r="I52" s="476">
        <f ca="1">SUMIFS(Inventarisatie[Oppervlakte],Inventarisatie[Locatie],$BC52,Inventarisatie[Freq. Ma-Vr],$C52,Inventarisatie[Categorie],I$2)</f>
        <v>0</v>
      </c>
      <c r="J52" s="476">
        <f ca="1">SUMIFS(Inventarisatie[Oppervlakte],Inventarisatie[Locatie],$BC52,Inventarisatie[Freq. Ma-Vr],$C52,Inventarisatie[Categorie],J$2)</f>
        <v>0</v>
      </c>
      <c r="K52" s="533"/>
      <c r="L52" s="316" t="b">
        <f>IF(_xlfn.XLOOKUP(BC52,Tabel2[Locatiecode],Tabel2[Type locatie],"",0)="vaccin",TRUE,FALSE)</f>
        <v>0</v>
      </c>
      <c r="BB52" s="9">
        <v>50</v>
      </c>
      <c r="BC52" s="9" t="str">
        <v>ANP-DVW</v>
      </c>
      <c r="BD52" s="9" t="str">
        <f t="shared" ca="1" si="0"/>
        <v/>
      </c>
    </row>
    <row r="53" spans="1:56" ht="0.2" customHeight="1" x14ac:dyDescent="0.2">
      <c r="A53" s="172" cm="1">
        <f t="array" aca="1" ref="A53" ca="1">_xlfn.IFS(SUM(D53:J53)&gt;0,1,OFFSET($K53,-MOD(BB53+4,5),0)=0,2,TRUE,0)</f>
        <v>2</v>
      </c>
      <c r="B53" s="532"/>
      <c r="C53" s="473">
        <v>156</v>
      </c>
      <c r="D53" s="474">
        <f ca="1">SUMIFS(Inventarisatie[Oppervlakte],Inventarisatie[Locatie],$BC53,Inventarisatie[Freq. Ma-Vr],$C53,Inventarisatie[Categorie],D$2)</f>
        <v>0</v>
      </c>
      <c r="E53" s="475">
        <f ca="1">SUMIFS(Inventarisatie[Oppervlakte],Inventarisatie[Locatie],$BC53,Inventarisatie[Freq. Ma-Vr],$C53,Inventarisatie[Categorie],E$2)</f>
        <v>0</v>
      </c>
      <c r="F53" s="475">
        <f ca="1">SUMIFS(Inventarisatie[Oppervlakte],Inventarisatie[Locatie],$BC53,Inventarisatie[Freq. Ma-Vr],$C53,Inventarisatie[Categorie],F$2)</f>
        <v>0</v>
      </c>
      <c r="G53" s="475">
        <f ca="1">SUMIFS(Inventarisatie[Oppervlakte],Inventarisatie[Locatie],$BC53,Inventarisatie[Freq. Ma-Vr],$C53,Inventarisatie[Categorie],G$2)</f>
        <v>0</v>
      </c>
      <c r="H53" s="475">
        <f ca="1">SUMIFS(Inventarisatie[Oppervlakte],Inventarisatie[Locatie],$BC53,Inventarisatie[Freq. Ma-Vr],$C53,Inventarisatie[Categorie],H$2)</f>
        <v>0</v>
      </c>
      <c r="I53" s="476">
        <f ca="1">SUMIFS(Inventarisatie[Oppervlakte],Inventarisatie[Locatie],$BC53,Inventarisatie[Freq. Ma-Vr],$C53,Inventarisatie[Categorie],I$2)</f>
        <v>0</v>
      </c>
      <c r="J53" s="476">
        <f ca="1">SUMIFS(Inventarisatie[Oppervlakte],Inventarisatie[Locatie],$BC53,Inventarisatie[Freq. Ma-Vr],$C53,Inventarisatie[Categorie],J$2)</f>
        <v>0</v>
      </c>
      <c r="K53" s="534"/>
      <c r="L53" s="316" t="b">
        <f>IF(_xlfn.XLOOKUP(BC53,Tabel2[Locatiecode],Tabel2[Type locatie],"",0)="vaccin",TRUE,FALSE)</f>
        <v>0</v>
      </c>
      <c r="BB53" s="9">
        <v>51</v>
      </c>
      <c r="BC53" s="9" t="str">
        <v>ANP-DVW</v>
      </c>
      <c r="BD53" s="9" t="str">
        <f t="shared" ca="1" si="0"/>
        <v/>
      </c>
    </row>
    <row r="54" spans="1:56" ht="0.2" customHeight="1" x14ac:dyDescent="0.2">
      <c r="A54" s="172" cm="1">
        <f t="array" aca="1" ref="A54" ca="1">_xlfn.IFS(SUM(D54:J54)&gt;0,1,OFFSET($K54,-MOD(BB54+4,5),0)=0,2,TRUE,0)</f>
        <v>2</v>
      </c>
      <c r="B54" s="532"/>
      <c r="C54" s="473">
        <v>104</v>
      </c>
      <c r="D54" s="474">
        <f ca="1">SUMIFS(Inventarisatie[Oppervlakte],Inventarisatie[Locatie],$BC54,Inventarisatie[Freq. Ma-Vr],$C54,Inventarisatie[Categorie],D$2)</f>
        <v>0</v>
      </c>
      <c r="E54" s="475">
        <f ca="1">SUMIFS(Inventarisatie[Oppervlakte],Inventarisatie[Locatie],$BC54,Inventarisatie[Freq. Ma-Vr],$C54,Inventarisatie[Categorie],E$2)</f>
        <v>0</v>
      </c>
      <c r="F54" s="475">
        <f ca="1">SUMIFS(Inventarisatie[Oppervlakte],Inventarisatie[Locatie],$BC54,Inventarisatie[Freq. Ma-Vr],$C54,Inventarisatie[Categorie],F$2)</f>
        <v>0</v>
      </c>
      <c r="G54" s="475">
        <f ca="1">SUMIFS(Inventarisatie[Oppervlakte],Inventarisatie[Locatie],$BC54,Inventarisatie[Freq. Ma-Vr],$C54,Inventarisatie[Categorie],G$2)</f>
        <v>0</v>
      </c>
      <c r="H54" s="475">
        <f ca="1">SUMIFS(Inventarisatie[Oppervlakte],Inventarisatie[Locatie],$BC54,Inventarisatie[Freq. Ma-Vr],$C54,Inventarisatie[Categorie],H$2)</f>
        <v>0</v>
      </c>
      <c r="I54" s="476">
        <f ca="1">SUMIFS(Inventarisatie[Oppervlakte],Inventarisatie[Locatie],$BC54,Inventarisatie[Freq. Ma-Vr],$C54,Inventarisatie[Categorie],I$2)</f>
        <v>0</v>
      </c>
      <c r="J54" s="476">
        <f ca="1">SUMIFS(Inventarisatie[Oppervlakte],Inventarisatie[Locatie],$BC54,Inventarisatie[Freq. Ma-Vr],$C54,Inventarisatie[Categorie],J$2)</f>
        <v>0</v>
      </c>
      <c r="K54" s="534"/>
      <c r="L54" s="316" t="b">
        <f>IF(_xlfn.XLOOKUP(BC54,Tabel2[Locatiecode],Tabel2[Type locatie],"",0)="vaccin",TRUE,FALSE)</f>
        <v>0</v>
      </c>
      <c r="BB54" s="9">
        <v>52</v>
      </c>
      <c r="BC54" s="9" t="str">
        <v>ANP-DVW</v>
      </c>
      <c r="BD54" s="9" t="str">
        <f t="shared" ca="1" si="0"/>
        <v/>
      </c>
    </row>
    <row r="55" spans="1:56" ht="0.2" customHeight="1" x14ac:dyDescent="0.2">
      <c r="A55" s="172" cm="1">
        <f t="array" aca="1" ref="A55" ca="1">_xlfn.IFS(SUM(D55:J55)&gt;0,1,OFFSET($K55,-MOD(BB55+4,5),0)=0,2,TRUE,0)</f>
        <v>2</v>
      </c>
      <c r="B55" s="532"/>
      <c r="C55" s="473">
        <v>52</v>
      </c>
      <c r="D55" s="474">
        <f ca="1">SUMIFS(Inventarisatie[Oppervlakte],Inventarisatie[Locatie],$BC55,Inventarisatie[Freq. Ma-Vr],$C55,Inventarisatie[Categorie],D$2)</f>
        <v>0</v>
      </c>
      <c r="E55" s="475">
        <f ca="1">SUMIFS(Inventarisatie[Oppervlakte],Inventarisatie[Locatie],$BC55,Inventarisatie[Freq. Ma-Vr],$C55,Inventarisatie[Categorie],E$2)</f>
        <v>0</v>
      </c>
      <c r="F55" s="475">
        <f ca="1">SUMIFS(Inventarisatie[Oppervlakte],Inventarisatie[Locatie],$BC55,Inventarisatie[Freq. Ma-Vr],$C55,Inventarisatie[Categorie],F$2)</f>
        <v>0</v>
      </c>
      <c r="G55" s="475">
        <f ca="1">SUMIFS(Inventarisatie[Oppervlakte],Inventarisatie[Locatie],$BC55,Inventarisatie[Freq. Ma-Vr],$C55,Inventarisatie[Categorie],G$2)</f>
        <v>0</v>
      </c>
      <c r="H55" s="475">
        <f ca="1">SUMIFS(Inventarisatie[Oppervlakte],Inventarisatie[Locatie],$BC55,Inventarisatie[Freq. Ma-Vr],$C55,Inventarisatie[Categorie],H$2)</f>
        <v>0</v>
      </c>
      <c r="I55" s="476">
        <f ca="1">SUMIFS(Inventarisatie[Oppervlakte],Inventarisatie[Locatie],$BC55,Inventarisatie[Freq. Ma-Vr],$C55,Inventarisatie[Categorie],I$2)</f>
        <v>0</v>
      </c>
      <c r="J55" s="476">
        <f ca="1">SUMIFS(Inventarisatie[Oppervlakte],Inventarisatie[Locatie],$BC55,Inventarisatie[Freq. Ma-Vr],$C55,Inventarisatie[Categorie],J$2)</f>
        <v>0</v>
      </c>
      <c r="K55" s="534"/>
      <c r="L55" s="316" t="b">
        <f>IF(_xlfn.XLOOKUP(BC55,Tabel2[Locatiecode],Tabel2[Type locatie],"",0)="vaccin",TRUE,FALSE)</f>
        <v>0</v>
      </c>
      <c r="M55" s="202"/>
      <c r="N55" s="202"/>
      <c r="O55" s="202"/>
      <c r="P55" s="202"/>
      <c r="Q55" s="202"/>
      <c r="BB55" s="9">
        <v>53</v>
      </c>
      <c r="BC55" s="9" t="str">
        <v>ANP-DVW</v>
      </c>
      <c r="BD55" s="9" t="str">
        <f t="shared" ca="1" si="0"/>
        <v/>
      </c>
    </row>
    <row r="56" spans="1:56" ht="0.2" customHeight="1" x14ac:dyDescent="0.2">
      <c r="A56" s="172" cm="1">
        <f t="array" aca="1" ref="A56" ca="1">_xlfn.IFS(SUM(D56:J56)&gt;0,1,OFFSET($K56,-MOD(BB56+4,5),0)=0,2,TRUE,0)</f>
        <v>2</v>
      </c>
      <c r="B56" s="532"/>
      <c r="C56" s="473">
        <v>4</v>
      </c>
      <c r="D56" s="474">
        <f ca="1">SUMIFS(Inventarisatie[Oppervlakte],Inventarisatie[Locatie],$BC56,Inventarisatie[Freq. Ma-Vr],$C56,Inventarisatie[Categorie],D$2)</f>
        <v>0</v>
      </c>
      <c r="E56" s="475">
        <f ca="1">SUMIFS(Inventarisatie[Oppervlakte],Inventarisatie[Locatie],$BC56,Inventarisatie[Freq. Ma-Vr],$C56,Inventarisatie[Categorie],E$2)</f>
        <v>0</v>
      </c>
      <c r="F56" s="475">
        <f ca="1">SUMIFS(Inventarisatie[Oppervlakte],Inventarisatie[Locatie],$BC56,Inventarisatie[Freq. Ma-Vr],$C56,Inventarisatie[Categorie],F$2)</f>
        <v>0</v>
      </c>
      <c r="G56" s="475">
        <f ca="1">SUMIFS(Inventarisatie[Oppervlakte],Inventarisatie[Locatie],$BC56,Inventarisatie[Freq. Ma-Vr],$C56,Inventarisatie[Categorie],G$2)</f>
        <v>0</v>
      </c>
      <c r="H56" s="475">
        <f ca="1">SUMIFS(Inventarisatie[Oppervlakte],Inventarisatie[Locatie],$BC56,Inventarisatie[Freq. Ma-Vr],$C56,Inventarisatie[Categorie],H$2)</f>
        <v>0</v>
      </c>
      <c r="I56" s="476">
        <f ca="1">SUMIFS(Inventarisatie[Oppervlakte],Inventarisatie[Locatie],$BC56,Inventarisatie[Freq. Ma-Vr],$C56,Inventarisatie[Categorie],I$2)</f>
        <v>0</v>
      </c>
      <c r="J56" s="476">
        <f ca="1">SUMIFS(Inventarisatie[Oppervlakte],Inventarisatie[Locatie],$BC56,Inventarisatie[Freq. Ma-Vr],$C56,Inventarisatie[Categorie],J$2)</f>
        <v>0</v>
      </c>
      <c r="K56" s="534"/>
      <c r="L56" s="316" t="b">
        <f>IF(_xlfn.XLOOKUP(BC56,Tabel2[Locatiecode],Tabel2[Type locatie],"",0)="vaccin",TRUE,FALSE)</f>
        <v>0</v>
      </c>
      <c r="BB56" s="9">
        <v>54</v>
      </c>
      <c r="BC56" s="9" t="str">
        <v>ANP-DVW</v>
      </c>
      <c r="BD56" s="9" t="str">
        <f t="shared" ca="1" si="0"/>
        <v/>
      </c>
    </row>
    <row r="57" spans="1:56" ht="15" customHeight="1" x14ac:dyDescent="0.2">
      <c r="A57" s="172" cm="1">
        <f t="array" aca="1" ref="A57" ca="1">_xlfn.IFS(SUM(D57:J57)&gt;0,1,OFFSET($K57,-MOD(BB57+4,5),0)=0,2,TRUE,0)</f>
        <v>1</v>
      </c>
      <c r="B57" s="532" t="str">
        <f>BC57</f>
        <v>BKS-RTH</v>
      </c>
      <c r="C57" s="473">
        <v>255</v>
      </c>
      <c r="D57" s="474">
        <f ca="1">SUMIFS(Inventarisatie[Oppervlakte],Inventarisatie[Locatie],$BC57,Inventarisatie[Freq. Ma-Vr],$C57,Inventarisatie[Categorie],D$2)</f>
        <v>62.7</v>
      </c>
      <c r="E57" s="475">
        <f ca="1">SUMIFS(Inventarisatie[Oppervlakte],Inventarisatie[Locatie],$BC57,Inventarisatie[Freq. Ma-Vr],$C57,Inventarisatie[Categorie],E$2)</f>
        <v>56.599999999999994</v>
      </c>
      <c r="F57" s="475">
        <f ca="1">SUMIFS(Inventarisatie[Oppervlakte],Inventarisatie[Locatie],$BC57,Inventarisatie[Freq. Ma-Vr],$C57,Inventarisatie[Categorie],F$2)</f>
        <v>72.7</v>
      </c>
      <c r="G57" s="475">
        <f ca="1">SUMIFS(Inventarisatie[Oppervlakte],Inventarisatie[Locatie],$BC57,Inventarisatie[Freq. Ma-Vr],$C57,Inventarisatie[Categorie],G$2)</f>
        <v>3.9</v>
      </c>
      <c r="H57" s="475">
        <f ca="1">SUMIFS(Inventarisatie[Oppervlakte],Inventarisatie[Locatie],$BC57,Inventarisatie[Freq. Ma-Vr],$C57,Inventarisatie[Categorie],H$2)</f>
        <v>3.9</v>
      </c>
      <c r="I57" s="476">
        <f ca="1">SUMIFS(Inventarisatie[Oppervlakte],Inventarisatie[Locatie],$BC57,Inventarisatie[Freq. Ma-Vr],$C57,Inventarisatie[Categorie],I$2)</f>
        <v>40.800000000000004</v>
      </c>
      <c r="J57" s="476">
        <f ca="1">SUMIFS(Inventarisatie[Oppervlakte],Inventarisatie[Locatie],$BC57,Inventarisatie[Freq. Ma-Vr],$C57,Inventarisatie[Categorie],J$2)</f>
        <v>0</v>
      </c>
      <c r="K57" s="533">
        <f ca="1">SUM(D57:J62)</f>
        <v>240.60000000000002</v>
      </c>
      <c r="L57" s="316" t="b">
        <f>IF(_xlfn.XLOOKUP(BC57,Tabel2[Locatiecode],Tabel2[Type locatie],"",0)="vaccin",TRUE,FALSE)</f>
        <v>0</v>
      </c>
      <c r="BB57" s="9">
        <v>55</v>
      </c>
      <c r="BC57" s="9" t="str">
        <v>BKS-RTH</v>
      </c>
      <c r="BD57" s="9">
        <f t="shared" ca="1" si="0"/>
        <v>255</v>
      </c>
    </row>
    <row r="58" spans="1:56" ht="0.2" customHeight="1" x14ac:dyDescent="0.2">
      <c r="A58" s="172" cm="1">
        <f t="array" aca="1" ref="A58" ca="1">_xlfn.IFS(SUM(D58:J58)&gt;0,1,OFFSET($K58,-MOD(BB58+4,5),0)=0,2,TRUE,0)</f>
        <v>2</v>
      </c>
      <c r="B58" s="532"/>
      <c r="C58" s="473">
        <v>204</v>
      </c>
      <c r="D58" s="474">
        <f ca="1">SUMIFS(Inventarisatie[Oppervlakte],Inventarisatie[Locatie],$BC58,Inventarisatie[Freq. Ma-Vr],$C58,Inventarisatie[Categorie],D$2)</f>
        <v>0</v>
      </c>
      <c r="E58" s="475">
        <f ca="1">SUMIFS(Inventarisatie[Oppervlakte],Inventarisatie[Locatie],$BC58,Inventarisatie[Freq. Ma-Vr],$C58,Inventarisatie[Categorie],E$2)</f>
        <v>0</v>
      </c>
      <c r="F58" s="475">
        <f ca="1">SUMIFS(Inventarisatie[Oppervlakte],Inventarisatie[Locatie],$BC58,Inventarisatie[Freq. Ma-Vr],$C58,Inventarisatie[Categorie],F$2)</f>
        <v>0</v>
      </c>
      <c r="G58" s="475">
        <f ca="1">SUMIFS(Inventarisatie[Oppervlakte],Inventarisatie[Locatie],$BC58,Inventarisatie[Freq. Ma-Vr],$C58,Inventarisatie[Categorie],G$2)</f>
        <v>0</v>
      </c>
      <c r="H58" s="475">
        <f ca="1">SUMIFS(Inventarisatie[Oppervlakte],Inventarisatie[Locatie],$BC58,Inventarisatie[Freq. Ma-Vr],$C58,Inventarisatie[Categorie],H$2)</f>
        <v>0</v>
      </c>
      <c r="I58" s="476">
        <f ca="1">SUMIFS(Inventarisatie[Oppervlakte],Inventarisatie[Locatie],$BC58,Inventarisatie[Freq. Ma-Vr],$C58,Inventarisatie[Categorie],I$2)</f>
        <v>0</v>
      </c>
      <c r="J58" s="476">
        <f ca="1">SUMIFS(Inventarisatie[Oppervlakte],Inventarisatie[Locatie],$BC58,Inventarisatie[Freq. Ma-Vr],$C58,Inventarisatie[Categorie],J$2)</f>
        <v>0</v>
      </c>
      <c r="K58" s="533"/>
      <c r="L58" s="316" t="b">
        <f>IF(_xlfn.XLOOKUP(BC58,Tabel2[Locatiecode],Tabel2[Type locatie],"",0)="vaccin",TRUE,FALSE)</f>
        <v>0</v>
      </c>
      <c r="BB58" s="9">
        <v>56</v>
      </c>
      <c r="BC58" s="9" t="str">
        <v>BKS-RTH</v>
      </c>
      <c r="BD58" s="9" t="str">
        <f t="shared" ca="1" si="0"/>
        <v/>
      </c>
    </row>
    <row r="59" spans="1:56" ht="0.2" customHeight="1" x14ac:dyDescent="0.2">
      <c r="A59" s="172" cm="1">
        <f t="array" aca="1" ref="A59" ca="1">_xlfn.IFS(SUM(D59:J59)&gt;0,1,OFFSET($K59,-MOD(BB59+4,5),0)=0,2,TRUE,0)</f>
        <v>2</v>
      </c>
      <c r="B59" s="532"/>
      <c r="C59" s="473">
        <v>156</v>
      </c>
      <c r="D59" s="474">
        <f ca="1">SUMIFS(Inventarisatie[Oppervlakte],Inventarisatie[Locatie],$BC59,Inventarisatie[Freq. Ma-Vr],$C59,Inventarisatie[Categorie],D$2)</f>
        <v>0</v>
      </c>
      <c r="E59" s="475">
        <f ca="1">SUMIFS(Inventarisatie[Oppervlakte],Inventarisatie[Locatie],$BC59,Inventarisatie[Freq. Ma-Vr],$C59,Inventarisatie[Categorie],E$2)</f>
        <v>0</v>
      </c>
      <c r="F59" s="475">
        <f ca="1">SUMIFS(Inventarisatie[Oppervlakte],Inventarisatie[Locatie],$BC59,Inventarisatie[Freq. Ma-Vr],$C59,Inventarisatie[Categorie],F$2)</f>
        <v>0</v>
      </c>
      <c r="G59" s="475">
        <f ca="1">SUMIFS(Inventarisatie[Oppervlakte],Inventarisatie[Locatie],$BC59,Inventarisatie[Freq. Ma-Vr],$C59,Inventarisatie[Categorie],G$2)</f>
        <v>0</v>
      </c>
      <c r="H59" s="475">
        <f ca="1">SUMIFS(Inventarisatie[Oppervlakte],Inventarisatie[Locatie],$BC59,Inventarisatie[Freq. Ma-Vr],$C59,Inventarisatie[Categorie],H$2)</f>
        <v>0</v>
      </c>
      <c r="I59" s="476">
        <f ca="1">SUMIFS(Inventarisatie[Oppervlakte],Inventarisatie[Locatie],$BC59,Inventarisatie[Freq. Ma-Vr],$C59,Inventarisatie[Categorie],I$2)</f>
        <v>0</v>
      </c>
      <c r="J59" s="476">
        <f ca="1">SUMIFS(Inventarisatie[Oppervlakte],Inventarisatie[Locatie],$BC59,Inventarisatie[Freq. Ma-Vr],$C59,Inventarisatie[Categorie],J$2)</f>
        <v>0</v>
      </c>
      <c r="K59" s="534"/>
      <c r="L59" s="316" t="b">
        <f>IF(_xlfn.XLOOKUP(BC59,Tabel2[Locatiecode],Tabel2[Type locatie],"",0)="vaccin",TRUE,FALSE)</f>
        <v>0</v>
      </c>
      <c r="M59" s="202"/>
      <c r="N59" s="202"/>
      <c r="O59" s="202"/>
      <c r="P59" s="202"/>
      <c r="Q59" s="202"/>
      <c r="BB59" s="9">
        <v>57</v>
      </c>
      <c r="BC59" s="9" t="str">
        <v>BKS-RTH</v>
      </c>
      <c r="BD59" s="9" t="str">
        <f t="shared" ca="1" si="0"/>
        <v/>
      </c>
    </row>
    <row r="60" spans="1:56" ht="0.2" customHeight="1" x14ac:dyDescent="0.2">
      <c r="A60" s="172" cm="1">
        <f t="array" aca="1" ref="A60" ca="1">_xlfn.IFS(SUM(D60:J60)&gt;0,1,OFFSET($K60,-MOD(BB60+4,5),0)=0,2,TRUE,0)</f>
        <v>2</v>
      </c>
      <c r="B60" s="532"/>
      <c r="C60" s="473">
        <v>104</v>
      </c>
      <c r="D60" s="474">
        <f ca="1">SUMIFS(Inventarisatie[Oppervlakte],Inventarisatie[Locatie],$BC60,Inventarisatie[Freq. Ma-Vr],$C60,Inventarisatie[Categorie],D$2)</f>
        <v>0</v>
      </c>
      <c r="E60" s="475">
        <f ca="1">SUMIFS(Inventarisatie[Oppervlakte],Inventarisatie[Locatie],$BC60,Inventarisatie[Freq. Ma-Vr],$C60,Inventarisatie[Categorie],E$2)</f>
        <v>0</v>
      </c>
      <c r="F60" s="475">
        <f ca="1">SUMIFS(Inventarisatie[Oppervlakte],Inventarisatie[Locatie],$BC60,Inventarisatie[Freq. Ma-Vr],$C60,Inventarisatie[Categorie],F$2)</f>
        <v>0</v>
      </c>
      <c r="G60" s="475">
        <f ca="1">SUMIFS(Inventarisatie[Oppervlakte],Inventarisatie[Locatie],$BC60,Inventarisatie[Freq. Ma-Vr],$C60,Inventarisatie[Categorie],G$2)</f>
        <v>0</v>
      </c>
      <c r="H60" s="475">
        <f ca="1">SUMIFS(Inventarisatie[Oppervlakte],Inventarisatie[Locatie],$BC60,Inventarisatie[Freq. Ma-Vr],$C60,Inventarisatie[Categorie],H$2)</f>
        <v>0</v>
      </c>
      <c r="I60" s="476">
        <f ca="1">SUMIFS(Inventarisatie[Oppervlakte],Inventarisatie[Locatie],$BC60,Inventarisatie[Freq. Ma-Vr],$C60,Inventarisatie[Categorie],I$2)</f>
        <v>0</v>
      </c>
      <c r="J60" s="476">
        <f ca="1">SUMIFS(Inventarisatie[Oppervlakte],Inventarisatie[Locatie],$BC60,Inventarisatie[Freq. Ma-Vr],$C60,Inventarisatie[Categorie],J$2)</f>
        <v>0</v>
      </c>
      <c r="K60" s="534"/>
      <c r="L60" s="316" t="b">
        <f>IF(_xlfn.XLOOKUP(BC60,Tabel2[Locatiecode],Tabel2[Type locatie],"",0)="vaccin",TRUE,FALSE)</f>
        <v>0</v>
      </c>
      <c r="BB60" s="9">
        <v>58</v>
      </c>
      <c r="BC60" s="9" t="str">
        <v>BKS-RTH</v>
      </c>
      <c r="BD60" s="9" t="str">
        <f t="shared" ca="1" si="0"/>
        <v/>
      </c>
    </row>
    <row r="61" spans="1:56" ht="0.2" customHeight="1" x14ac:dyDescent="0.2">
      <c r="A61" s="172" cm="1">
        <f t="array" aca="1" ref="A61" ca="1">_xlfn.IFS(SUM(D61:J61)&gt;0,1,OFFSET($K61,-MOD(BB61+4,5),0)=0,2,TRUE,0)</f>
        <v>2</v>
      </c>
      <c r="B61" s="532"/>
      <c r="C61" s="473">
        <v>52</v>
      </c>
      <c r="D61" s="474">
        <f ca="1">SUMIFS(Inventarisatie[Oppervlakte],Inventarisatie[Locatie],$BC61,Inventarisatie[Freq. Ma-Vr],$C61,Inventarisatie[Categorie],D$2)</f>
        <v>0</v>
      </c>
      <c r="E61" s="475">
        <f ca="1">SUMIFS(Inventarisatie[Oppervlakte],Inventarisatie[Locatie],$BC61,Inventarisatie[Freq. Ma-Vr],$C61,Inventarisatie[Categorie],E$2)</f>
        <v>0</v>
      </c>
      <c r="F61" s="475">
        <f ca="1">SUMIFS(Inventarisatie[Oppervlakte],Inventarisatie[Locatie],$BC61,Inventarisatie[Freq. Ma-Vr],$C61,Inventarisatie[Categorie],F$2)</f>
        <v>0</v>
      </c>
      <c r="G61" s="475">
        <f ca="1">SUMIFS(Inventarisatie[Oppervlakte],Inventarisatie[Locatie],$BC61,Inventarisatie[Freq. Ma-Vr],$C61,Inventarisatie[Categorie],G$2)</f>
        <v>0</v>
      </c>
      <c r="H61" s="475">
        <f ca="1">SUMIFS(Inventarisatie[Oppervlakte],Inventarisatie[Locatie],$BC61,Inventarisatie[Freq. Ma-Vr],$C61,Inventarisatie[Categorie],H$2)</f>
        <v>0</v>
      </c>
      <c r="I61" s="476">
        <f ca="1">SUMIFS(Inventarisatie[Oppervlakte],Inventarisatie[Locatie],$BC61,Inventarisatie[Freq. Ma-Vr],$C61,Inventarisatie[Categorie],I$2)</f>
        <v>0</v>
      </c>
      <c r="J61" s="476">
        <f ca="1">SUMIFS(Inventarisatie[Oppervlakte],Inventarisatie[Locatie],$BC61,Inventarisatie[Freq. Ma-Vr],$C61,Inventarisatie[Categorie],J$2)</f>
        <v>0</v>
      </c>
      <c r="K61" s="534"/>
      <c r="L61" s="316" t="b">
        <f>IF(_xlfn.XLOOKUP(BC61,Tabel2[Locatiecode],Tabel2[Type locatie],"",0)="vaccin",TRUE,FALSE)</f>
        <v>0</v>
      </c>
      <c r="M61" s="202"/>
      <c r="N61" s="202"/>
      <c r="O61" s="202"/>
      <c r="P61" s="202"/>
      <c r="BB61" s="9">
        <v>59</v>
      </c>
      <c r="BC61" s="9" t="str">
        <v>BKS-RTH</v>
      </c>
      <c r="BD61" s="9" t="str">
        <f t="shared" ca="1" si="0"/>
        <v/>
      </c>
    </row>
    <row r="62" spans="1:56" ht="0.2" customHeight="1" x14ac:dyDescent="0.2">
      <c r="A62" s="172" cm="1">
        <f t="array" aca="1" ref="A62" ca="1">_xlfn.IFS(SUM(D62:J62)&gt;0,1,OFFSET($K62,-MOD(BB62+4,5),0)=0,2,TRUE,0)</f>
        <v>2</v>
      </c>
      <c r="B62" s="532"/>
      <c r="C62" s="473">
        <v>4</v>
      </c>
      <c r="D62" s="474">
        <f ca="1">SUMIFS(Inventarisatie[Oppervlakte],Inventarisatie[Locatie],$BC62,Inventarisatie[Freq. Ma-Vr],$C62,Inventarisatie[Categorie],D$2)</f>
        <v>0</v>
      </c>
      <c r="E62" s="475">
        <f ca="1">SUMIFS(Inventarisatie[Oppervlakte],Inventarisatie[Locatie],$BC62,Inventarisatie[Freq. Ma-Vr],$C62,Inventarisatie[Categorie],E$2)</f>
        <v>0</v>
      </c>
      <c r="F62" s="475">
        <f ca="1">SUMIFS(Inventarisatie[Oppervlakte],Inventarisatie[Locatie],$BC62,Inventarisatie[Freq. Ma-Vr],$C62,Inventarisatie[Categorie],F$2)</f>
        <v>0</v>
      </c>
      <c r="G62" s="475">
        <f ca="1">SUMIFS(Inventarisatie[Oppervlakte],Inventarisatie[Locatie],$BC62,Inventarisatie[Freq. Ma-Vr],$C62,Inventarisatie[Categorie],G$2)</f>
        <v>0</v>
      </c>
      <c r="H62" s="475">
        <f ca="1">SUMIFS(Inventarisatie[Oppervlakte],Inventarisatie[Locatie],$BC62,Inventarisatie[Freq. Ma-Vr],$C62,Inventarisatie[Categorie],H$2)</f>
        <v>0</v>
      </c>
      <c r="I62" s="476">
        <f ca="1">SUMIFS(Inventarisatie[Oppervlakte],Inventarisatie[Locatie],$BC62,Inventarisatie[Freq. Ma-Vr],$C62,Inventarisatie[Categorie],I$2)</f>
        <v>0</v>
      </c>
      <c r="J62" s="476">
        <f ca="1">SUMIFS(Inventarisatie[Oppervlakte],Inventarisatie[Locatie],$BC62,Inventarisatie[Freq. Ma-Vr],$C62,Inventarisatie[Categorie],J$2)</f>
        <v>0</v>
      </c>
      <c r="K62" s="534"/>
      <c r="L62" s="316" t="b">
        <f>IF(_xlfn.XLOOKUP(BC62,Tabel2[Locatiecode],Tabel2[Type locatie],"",0)="vaccin",TRUE,FALSE)</f>
        <v>0</v>
      </c>
      <c r="BB62" s="9">
        <v>60</v>
      </c>
      <c r="BC62" s="9" t="str">
        <v>BKS-RTH</v>
      </c>
      <c r="BD62" s="9" t="str">
        <f t="shared" ca="1" si="0"/>
        <v/>
      </c>
    </row>
    <row r="63" spans="1:56" ht="15" customHeight="1" x14ac:dyDescent="0.2">
      <c r="A63" s="172" cm="1">
        <f t="array" aca="1" ref="A63" ca="1">_xlfn.IFS(SUM(D63:J63)&gt;0,1,OFFSET($K63,-MOD(BB63+4,5),0)=0,2,TRUE,0)</f>
        <v>1</v>
      </c>
      <c r="B63" s="532" t="str">
        <f>BC63</f>
        <v>CST-GDW</v>
      </c>
      <c r="C63" s="473">
        <v>255</v>
      </c>
      <c r="D63" s="474">
        <f ca="1">SUMIFS(Inventarisatie[Oppervlakte],Inventarisatie[Locatie],$BC63,Inventarisatie[Freq. Ma-Vr],$C63,Inventarisatie[Categorie],D$2)</f>
        <v>78.099999999999994</v>
      </c>
      <c r="E63" s="475">
        <f ca="1">SUMIFS(Inventarisatie[Oppervlakte],Inventarisatie[Locatie],$BC63,Inventarisatie[Freq. Ma-Vr],$C63,Inventarisatie[Categorie],E$2)</f>
        <v>21.9</v>
      </c>
      <c r="F63" s="475">
        <f ca="1">SUMIFS(Inventarisatie[Oppervlakte],Inventarisatie[Locatie],$BC63,Inventarisatie[Freq. Ma-Vr],$C63,Inventarisatie[Categorie],F$2)</f>
        <v>126</v>
      </c>
      <c r="G63" s="475">
        <f ca="1">SUMIFS(Inventarisatie[Oppervlakte],Inventarisatie[Locatie],$BC63,Inventarisatie[Freq. Ma-Vr],$C63,Inventarisatie[Categorie],G$2)</f>
        <v>0</v>
      </c>
      <c r="H63" s="475">
        <f ca="1">SUMIFS(Inventarisatie[Oppervlakte],Inventarisatie[Locatie],$BC63,Inventarisatie[Freq. Ma-Vr],$C63,Inventarisatie[Categorie],H$2)</f>
        <v>7.1</v>
      </c>
      <c r="I63" s="476">
        <f ca="1">SUMIFS(Inventarisatie[Oppervlakte],Inventarisatie[Locatie],$BC63,Inventarisatie[Freq. Ma-Vr],$C63,Inventarisatie[Categorie],I$2)</f>
        <v>4</v>
      </c>
      <c r="J63" s="476">
        <f ca="1">SUMIFS(Inventarisatie[Oppervlakte],Inventarisatie[Locatie],$BC63,Inventarisatie[Freq. Ma-Vr],$C63,Inventarisatie[Categorie],J$2)</f>
        <v>0</v>
      </c>
      <c r="K63" s="533">
        <f ca="1">SUM(D63:J68)</f>
        <v>237.1</v>
      </c>
      <c r="L63" s="316" t="b">
        <f>IF(_xlfn.XLOOKUP(BC63,Tabel2[Locatiecode],Tabel2[Type locatie],"",0)="vaccin",TRUE,FALSE)</f>
        <v>0</v>
      </c>
      <c r="BB63" s="9">
        <v>61</v>
      </c>
      <c r="BC63" s="9" t="str">
        <v>CST-GDW</v>
      </c>
      <c r="BD63" s="9">
        <f t="shared" ca="1" si="0"/>
        <v>255</v>
      </c>
    </row>
    <row r="64" spans="1:56" ht="0.2" customHeight="1" x14ac:dyDescent="0.2">
      <c r="A64" s="172" cm="1">
        <f t="array" aca="1" ref="A64" ca="1">_xlfn.IFS(SUM(D64:J64)&gt;0,1,OFFSET($K64,-MOD(BB64+4,5),0)=0,2,TRUE,0)</f>
        <v>0</v>
      </c>
      <c r="B64" s="532"/>
      <c r="C64" s="473">
        <v>204</v>
      </c>
      <c r="D64" s="474">
        <f ca="1">SUMIFS(Inventarisatie[Oppervlakte],Inventarisatie[Locatie],$BC64,Inventarisatie[Freq. Ma-Vr],$C64,Inventarisatie[Categorie],D$2)</f>
        <v>0</v>
      </c>
      <c r="E64" s="475">
        <f ca="1">SUMIFS(Inventarisatie[Oppervlakte],Inventarisatie[Locatie],$BC64,Inventarisatie[Freq. Ma-Vr],$C64,Inventarisatie[Categorie],E$2)</f>
        <v>0</v>
      </c>
      <c r="F64" s="475">
        <f ca="1">SUMIFS(Inventarisatie[Oppervlakte],Inventarisatie[Locatie],$BC64,Inventarisatie[Freq. Ma-Vr],$C64,Inventarisatie[Categorie],F$2)</f>
        <v>0</v>
      </c>
      <c r="G64" s="475">
        <f ca="1">SUMIFS(Inventarisatie[Oppervlakte],Inventarisatie[Locatie],$BC64,Inventarisatie[Freq. Ma-Vr],$C64,Inventarisatie[Categorie],G$2)</f>
        <v>0</v>
      </c>
      <c r="H64" s="475">
        <f ca="1">SUMIFS(Inventarisatie[Oppervlakte],Inventarisatie[Locatie],$BC64,Inventarisatie[Freq. Ma-Vr],$C64,Inventarisatie[Categorie],H$2)</f>
        <v>0</v>
      </c>
      <c r="I64" s="476">
        <f ca="1">SUMIFS(Inventarisatie[Oppervlakte],Inventarisatie[Locatie],$BC64,Inventarisatie[Freq. Ma-Vr],$C64,Inventarisatie[Categorie],I$2)</f>
        <v>0</v>
      </c>
      <c r="J64" s="476">
        <f ca="1">SUMIFS(Inventarisatie[Oppervlakte],Inventarisatie[Locatie],$BC64,Inventarisatie[Freq. Ma-Vr],$C64,Inventarisatie[Categorie],J$2)</f>
        <v>0</v>
      </c>
      <c r="K64" s="533"/>
      <c r="L64" s="316" t="b">
        <f>IF(_xlfn.XLOOKUP(BC64,Tabel2[Locatiecode],Tabel2[Type locatie],"",0)="vaccin",TRUE,FALSE)</f>
        <v>0</v>
      </c>
      <c r="BB64" s="9">
        <v>62</v>
      </c>
      <c r="BC64" s="9" t="str">
        <v>CST-GDW</v>
      </c>
      <c r="BD64" s="9" t="str">
        <f t="shared" ca="1" si="0"/>
        <v/>
      </c>
    </row>
    <row r="65" spans="1:56" ht="0.2" customHeight="1" x14ac:dyDescent="0.2">
      <c r="A65" s="172" cm="1">
        <f t="array" aca="1" ref="A65" ca="1">_xlfn.IFS(SUM(D65:J65)&gt;0,1,OFFSET($K65,-MOD(BB65+4,5),0)=0,2,TRUE,0)</f>
        <v>0</v>
      </c>
      <c r="B65" s="532"/>
      <c r="C65" s="473">
        <v>156</v>
      </c>
      <c r="D65" s="474">
        <f ca="1">SUMIFS(Inventarisatie[Oppervlakte],Inventarisatie[Locatie],$BC65,Inventarisatie[Freq. Ma-Vr],$C65,Inventarisatie[Categorie],D$2)</f>
        <v>0</v>
      </c>
      <c r="E65" s="475">
        <f ca="1">SUMIFS(Inventarisatie[Oppervlakte],Inventarisatie[Locatie],$BC65,Inventarisatie[Freq. Ma-Vr],$C65,Inventarisatie[Categorie],E$2)</f>
        <v>0</v>
      </c>
      <c r="F65" s="475">
        <f ca="1">SUMIFS(Inventarisatie[Oppervlakte],Inventarisatie[Locatie],$BC65,Inventarisatie[Freq. Ma-Vr],$C65,Inventarisatie[Categorie],F$2)</f>
        <v>0</v>
      </c>
      <c r="G65" s="475">
        <f ca="1">SUMIFS(Inventarisatie[Oppervlakte],Inventarisatie[Locatie],$BC65,Inventarisatie[Freq. Ma-Vr],$C65,Inventarisatie[Categorie],G$2)</f>
        <v>0</v>
      </c>
      <c r="H65" s="475">
        <f ca="1">SUMIFS(Inventarisatie[Oppervlakte],Inventarisatie[Locatie],$BC65,Inventarisatie[Freq. Ma-Vr],$C65,Inventarisatie[Categorie],H$2)</f>
        <v>0</v>
      </c>
      <c r="I65" s="476">
        <f ca="1">SUMIFS(Inventarisatie[Oppervlakte],Inventarisatie[Locatie],$BC65,Inventarisatie[Freq. Ma-Vr],$C65,Inventarisatie[Categorie],I$2)</f>
        <v>0</v>
      </c>
      <c r="J65" s="476">
        <f ca="1">SUMIFS(Inventarisatie[Oppervlakte],Inventarisatie[Locatie],$BC65,Inventarisatie[Freq. Ma-Vr],$C65,Inventarisatie[Categorie],J$2)</f>
        <v>0</v>
      </c>
      <c r="K65" s="534"/>
      <c r="L65" s="316" t="b">
        <f>IF(_xlfn.XLOOKUP(BC65,Tabel2[Locatiecode],Tabel2[Type locatie],"",0)="vaccin",TRUE,FALSE)</f>
        <v>0</v>
      </c>
      <c r="BB65" s="9">
        <v>63</v>
      </c>
      <c r="BC65" s="9" t="str">
        <v>CST-GDW</v>
      </c>
      <c r="BD65" s="9" t="str">
        <f t="shared" ca="1" si="0"/>
        <v/>
      </c>
    </row>
    <row r="66" spans="1:56" ht="0.2" customHeight="1" x14ac:dyDescent="0.2">
      <c r="A66" s="172" cm="1">
        <f t="array" aca="1" ref="A66" ca="1">_xlfn.IFS(SUM(D66:J66)&gt;0,1,OFFSET($K66,-MOD(BB66+4,5),0)=0,2,TRUE,0)</f>
        <v>0</v>
      </c>
      <c r="B66" s="532"/>
      <c r="C66" s="473">
        <v>104</v>
      </c>
      <c r="D66" s="474">
        <f ca="1">SUMIFS(Inventarisatie[Oppervlakte],Inventarisatie[Locatie],$BC66,Inventarisatie[Freq. Ma-Vr],$C66,Inventarisatie[Categorie],D$2)</f>
        <v>0</v>
      </c>
      <c r="E66" s="475">
        <f ca="1">SUMIFS(Inventarisatie[Oppervlakte],Inventarisatie[Locatie],$BC66,Inventarisatie[Freq. Ma-Vr],$C66,Inventarisatie[Categorie],E$2)</f>
        <v>0</v>
      </c>
      <c r="F66" s="475">
        <f ca="1">SUMIFS(Inventarisatie[Oppervlakte],Inventarisatie[Locatie],$BC66,Inventarisatie[Freq. Ma-Vr],$C66,Inventarisatie[Categorie],F$2)</f>
        <v>0</v>
      </c>
      <c r="G66" s="475">
        <f ca="1">SUMIFS(Inventarisatie[Oppervlakte],Inventarisatie[Locatie],$BC66,Inventarisatie[Freq. Ma-Vr],$C66,Inventarisatie[Categorie],G$2)</f>
        <v>0</v>
      </c>
      <c r="H66" s="475">
        <f ca="1">SUMIFS(Inventarisatie[Oppervlakte],Inventarisatie[Locatie],$BC66,Inventarisatie[Freq. Ma-Vr],$C66,Inventarisatie[Categorie],H$2)</f>
        <v>0</v>
      </c>
      <c r="I66" s="476">
        <f ca="1">SUMIFS(Inventarisatie[Oppervlakte],Inventarisatie[Locatie],$BC66,Inventarisatie[Freq. Ma-Vr],$C66,Inventarisatie[Categorie],I$2)</f>
        <v>0</v>
      </c>
      <c r="J66" s="476">
        <f ca="1">SUMIFS(Inventarisatie[Oppervlakte],Inventarisatie[Locatie],$BC66,Inventarisatie[Freq. Ma-Vr],$C66,Inventarisatie[Categorie],J$2)</f>
        <v>0</v>
      </c>
      <c r="K66" s="534"/>
      <c r="L66" s="316" t="b">
        <f>IF(_xlfn.XLOOKUP(BC66,Tabel2[Locatiecode],Tabel2[Type locatie],"",0)="vaccin",TRUE,FALSE)</f>
        <v>0</v>
      </c>
      <c r="BB66" s="9">
        <v>64</v>
      </c>
      <c r="BC66" s="9" t="str">
        <v>CST-GDW</v>
      </c>
      <c r="BD66" s="9" t="str">
        <f t="shared" ca="1" si="0"/>
        <v/>
      </c>
    </row>
    <row r="67" spans="1:56" ht="0.2" customHeight="1" x14ac:dyDescent="0.2">
      <c r="A67" s="172" cm="1">
        <f t="array" aca="1" ref="A67" ca="1">_xlfn.IFS(SUM(D67:J67)&gt;0,1,OFFSET($K67,-MOD(BB67+4,5),0)=0,2,TRUE,0)</f>
        <v>0</v>
      </c>
      <c r="B67" s="532"/>
      <c r="C67" s="473">
        <v>52</v>
      </c>
      <c r="D67" s="474">
        <f ca="1">SUMIFS(Inventarisatie[Oppervlakte],Inventarisatie[Locatie],$BC67,Inventarisatie[Freq. Ma-Vr],$C67,Inventarisatie[Categorie],D$2)</f>
        <v>0</v>
      </c>
      <c r="E67" s="475">
        <f ca="1">SUMIFS(Inventarisatie[Oppervlakte],Inventarisatie[Locatie],$BC67,Inventarisatie[Freq. Ma-Vr],$C67,Inventarisatie[Categorie],E$2)</f>
        <v>0</v>
      </c>
      <c r="F67" s="475">
        <f ca="1">SUMIFS(Inventarisatie[Oppervlakte],Inventarisatie[Locatie],$BC67,Inventarisatie[Freq. Ma-Vr],$C67,Inventarisatie[Categorie],F$2)</f>
        <v>0</v>
      </c>
      <c r="G67" s="475">
        <f ca="1">SUMIFS(Inventarisatie[Oppervlakte],Inventarisatie[Locatie],$BC67,Inventarisatie[Freq. Ma-Vr],$C67,Inventarisatie[Categorie],G$2)</f>
        <v>0</v>
      </c>
      <c r="H67" s="475">
        <f ca="1">SUMIFS(Inventarisatie[Oppervlakte],Inventarisatie[Locatie],$BC67,Inventarisatie[Freq. Ma-Vr],$C67,Inventarisatie[Categorie],H$2)</f>
        <v>0</v>
      </c>
      <c r="I67" s="476">
        <f ca="1">SUMIFS(Inventarisatie[Oppervlakte],Inventarisatie[Locatie],$BC67,Inventarisatie[Freq. Ma-Vr],$C67,Inventarisatie[Categorie],I$2)</f>
        <v>0</v>
      </c>
      <c r="J67" s="476">
        <f ca="1">SUMIFS(Inventarisatie[Oppervlakte],Inventarisatie[Locatie],$BC67,Inventarisatie[Freq. Ma-Vr],$C67,Inventarisatie[Categorie],J$2)</f>
        <v>0</v>
      </c>
      <c r="K67" s="534"/>
      <c r="L67" s="316" t="b">
        <f>IF(_xlfn.XLOOKUP(BC67,Tabel2[Locatiecode],Tabel2[Type locatie],"",0)="vaccin",TRUE,FALSE)</f>
        <v>0</v>
      </c>
      <c r="BB67" s="9">
        <v>65</v>
      </c>
      <c r="BC67" s="9" t="str">
        <v>CST-GDW</v>
      </c>
      <c r="BD67" s="9" t="str">
        <f t="shared" ca="1" si="0"/>
        <v/>
      </c>
    </row>
    <row r="68" spans="1:56" ht="0.2" customHeight="1" x14ac:dyDescent="0.2">
      <c r="A68" s="172" cm="1">
        <f t="array" aca="1" ref="A68" ca="1">_xlfn.IFS(SUM(D68:J68)&gt;0,1,OFFSET($K68,-MOD(BB68+4,5),0)=0,2,TRUE,0)</f>
        <v>2</v>
      </c>
      <c r="B68" s="532"/>
      <c r="C68" s="473">
        <v>4</v>
      </c>
      <c r="D68" s="474">
        <f ca="1">SUMIFS(Inventarisatie[Oppervlakte],Inventarisatie[Locatie],$BC68,Inventarisatie[Freq. Ma-Vr],$C68,Inventarisatie[Categorie],D$2)</f>
        <v>0</v>
      </c>
      <c r="E68" s="475">
        <f ca="1">SUMIFS(Inventarisatie[Oppervlakte],Inventarisatie[Locatie],$BC68,Inventarisatie[Freq. Ma-Vr],$C68,Inventarisatie[Categorie],E$2)</f>
        <v>0</v>
      </c>
      <c r="F68" s="475">
        <f ca="1">SUMIFS(Inventarisatie[Oppervlakte],Inventarisatie[Locatie],$BC68,Inventarisatie[Freq. Ma-Vr],$C68,Inventarisatie[Categorie],F$2)</f>
        <v>0</v>
      </c>
      <c r="G68" s="475">
        <f ca="1">SUMIFS(Inventarisatie[Oppervlakte],Inventarisatie[Locatie],$BC68,Inventarisatie[Freq. Ma-Vr],$C68,Inventarisatie[Categorie],G$2)</f>
        <v>0</v>
      </c>
      <c r="H68" s="475">
        <f ca="1">SUMIFS(Inventarisatie[Oppervlakte],Inventarisatie[Locatie],$BC68,Inventarisatie[Freq. Ma-Vr],$C68,Inventarisatie[Categorie],H$2)</f>
        <v>0</v>
      </c>
      <c r="I68" s="476">
        <f ca="1">SUMIFS(Inventarisatie[Oppervlakte],Inventarisatie[Locatie],$BC68,Inventarisatie[Freq. Ma-Vr],$C68,Inventarisatie[Categorie],I$2)</f>
        <v>0</v>
      </c>
      <c r="J68" s="476">
        <f ca="1">SUMIFS(Inventarisatie[Oppervlakte],Inventarisatie[Locatie],$BC68,Inventarisatie[Freq. Ma-Vr],$C68,Inventarisatie[Categorie],J$2)</f>
        <v>0</v>
      </c>
      <c r="K68" s="534"/>
      <c r="L68" s="316" t="b">
        <f>IF(_xlfn.XLOOKUP(BC68,Tabel2[Locatiecode],Tabel2[Type locatie],"",0)="vaccin",TRUE,FALSE)</f>
        <v>0</v>
      </c>
      <c r="BB68" s="9">
        <v>66</v>
      </c>
      <c r="BC68" s="9" t="str">
        <v>CST-GDW</v>
      </c>
      <c r="BD68" s="9" t="str">
        <f t="shared" ref="BD68:BD131" ca="1" si="1">IF(SUM(D68:J68)&gt;0,C68,"")</f>
        <v/>
      </c>
    </row>
    <row r="69" spans="1:56" ht="15" customHeight="1" x14ac:dyDescent="0.2">
      <c r="A69" s="172" cm="1">
        <f t="array" aca="1" ref="A69" ca="1">_xlfn.IFS(SUM(D69:J69)&gt;0,1,OFFSET($K69,-MOD(BB69+4,5),0)=0,2,TRUE,0)</f>
        <v>1</v>
      </c>
      <c r="B69" s="532" t="str">
        <f>BC69</f>
        <v>DHE-BPL</v>
      </c>
      <c r="C69" s="473">
        <v>255</v>
      </c>
      <c r="D69" s="474">
        <f ca="1">SUMIFS(Inventarisatie[Oppervlakte],Inventarisatie[Locatie],$BC69,Inventarisatie[Freq. Ma-Vr],$C69,Inventarisatie[Categorie],D$2)</f>
        <v>52.8</v>
      </c>
      <c r="E69" s="475">
        <f ca="1">SUMIFS(Inventarisatie[Oppervlakte],Inventarisatie[Locatie],$BC69,Inventarisatie[Freq. Ma-Vr],$C69,Inventarisatie[Categorie],E$2)</f>
        <v>145</v>
      </c>
      <c r="F69" s="475">
        <f ca="1">SUMIFS(Inventarisatie[Oppervlakte],Inventarisatie[Locatie],$BC69,Inventarisatie[Freq. Ma-Vr],$C69,Inventarisatie[Categorie],F$2)</f>
        <v>120.7</v>
      </c>
      <c r="G69" s="475">
        <f ca="1">SUMIFS(Inventarisatie[Oppervlakte],Inventarisatie[Locatie],$BC69,Inventarisatie[Freq. Ma-Vr],$C69,Inventarisatie[Categorie],G$2)</f>
        <v>20.100000000000001</v>
      </c>
      <c r="H69" s="475">
        <f ca="1">SUMIFS(Inventarisatie[Oppervlakte],Inventarisatie[Locatie],$BC69,Inventarisatie[Freq. Ma-Vr],$C69,Inventarisatie[Categorie],H$2)</f>
        <v>5</v>
      </c>
      <c r="I69" s="476">
        <f ca="1">SUMIFS(Inventarisatie[Oppervlakte],Inventarisatie[Locatie],$BC69,Inventarisatie[Freq. Ma-Vr],$C69,Inventarisatie[Categorie],I$2)</f>
        <v>88.199999999999989</v>
      </c>
      <c r="J69" s="476">
        <f ca="1">SUMIFS(Inventarisatie[Oppervlakte],Inventarisatie[Locatie],$BC69,Inventarisatie[Freq. Ma-Vr],$C69,Inventarisatie[Categorie],J$2)</f>
        <v>0</v>
      </c>
      <c r="K69" s="533">
        <f ca="1">SUM(D69:J74)</f>
        <v>431.8</v>
      </c>
      <c r="L69" s="316" t="b">
        <f>IF(_xlfn.XLOOKUP(BC69,Tabel2[Locatiecode],Tabel2[Type locatie],"",0)="vaccin",TRUE,FALSE)</f>
        <v>0</v>
      </c>
      <c r="BB69" s="9">
        <v>67</v>
      </c>
      <c r="BC69" s="9" t="str">
        <v>DHE-BPL</v>
      </c>
      <c r="BD69" s="9">
        <f t="shared" ca="1" si="1"/>
        <v>255</v>
      </c>
    </row>
    <row r="70" spans="1:56" ht="0.2" customHeight="1" x14ac:dyDescent="0.2">
      <c r="A70" s="172" cm="1">
        <f t="array" aca="1" ref="A70" ca="1">_xlfn.IFS(SUM(D70:J70)&gt;0,1,OFFSET($K70,-MOD(BB70+4,5),0)=0,2,TRUE,0)</f>
        <v>2</v>
      </c>
      <c r="B70" s="532"/>
      <c r="C70" s="473">
        <v>204</v>
      </c>
      <c r="D70" s="474">
        <f ca="1">SUMIFS(Inventarisatie[Oppervlakte],Inventarisatie[Locatie],$BC70,Inventarisatie[Freq. Ma-Vr],$C70,Inventarisatie[Categorie],D$2)</f>
        <v>0</v>
      </c>
      <c r="E70" s="475">
        <f ca="1">SUMIFS(Inventarisatie[Oppervlakte],Inventarisatie[Locatie],$BC70,Inventarisatie[Freq. Ma-Vr],$C70,Inventarisatie[Categorie],E$2)</f>
        <v>0</v>
      </c>
      <c r="F70" s="475">
        <f ca="1">SUMIFS(Inventarisatie[Oppervlakte],Inventarisatie[Locatie],$BC70,Inventarisatie[Freq. Ma-Vr],$C70,Inventarisatie[Categorie],F$2)</f>
        <v>0</v>
      </c>
      <c r="G70" s="475">
        <f ca="1">SUMIFS(Inventarisatie[Oppervlakte],Inventarisatie[Locatie],$BC70,Inventarisatie[Freq. Ma-Vr],$C70,Inventarisatie[Categorie],G$2)</f>
        <v>0</v>
      </c>
      <c r="H70" s="475">
        <f ca="1">SUMIFS(Inventarisatie[Oppervlakte],Inventarisatie[Locatie],$BC70,Inventarisatie[Freq. Ma-Vr],$C70,Inventarisatie[Categorie],H$2)</f>
        <v>0</v>
      </c>
      <c r="I70" s="476">
        <f ca="1">SUMIFS(Inventarisatie[Oppervlakte],Inventarisatie[Locatie],$BC70,Inventarisatie[Freq. Ma-Vr],$C70,Inventarisatie[Categorie],I$2)</f>
        <v>0</v>
      </c>
      <c r="J70" s="476">
        <f ca="1">SUMIFS(Inventarisatie[Oppervlakte],Inventarisatie[Locatie],$BC70,Inventarisatie[Freq. Ma-Vr],$C70,Inventarisatie[Categorie],J$2)</f>
        <v>0</v>
      </c>
      <c r="K70" s="533"/>
      <c r="L70" s="316" t="b">
        <f>IF(_xlfn.XLOOKUP(BC70,Tabel2[Locatiecode],Tabel2[Type locatie],"",0)="vaccin",TRUE,FALSE)</f>
        <v>0</v>
      </c>
      <c r="BB70" s="9">
        <v>68</v>
      </c>
      <c r="BC70" s="9" t="str">
        <v>DHE-BPL</v>
      </c>
      <c r="BD70" s="9" t="str">
        <f t="shared" ca="1" si="1"/>
        <v/>
      </c>
    </row>
    <row r="71" spans="1:56" ht="0.2" customHeight="1" x14ac:dyDescent="0.2">
      <c r="A71" s="172" cm="1">
        <f t="array" aca="1" ref="A71" ca="1">_xlfn.IFS(SUM(D71:J71)&gt;0,1,OFFSET($K71,-MOD(BB71+4,5),0)=0,2,TRUE,0)</f>
        <v>2</v>
      </c>
      <c r="B71" s="532"/>
      <c r="C71" s="473">
        <v>156</v>
      </c>
      <c r="D71" s="474">
        <f ca="1">SUMIFS(Inventarisatie[Oppervlakte],Inventarisatie[Locatie],$BC71,Inventarisatie[Freq. Ma-Vr],$C71,Inventarisatie[Categorie],D$2)</f>
        <v>0</v>
      </c>
      <c r="E71" s="475">
        <f ca="1">SUMIFS(Inventarisatie[Oppervlakte],Inventarisatie[Locatie],$BC71,Inventarisatie[Freq. Ma-Vr],$C71,Inventarisatie[Categorie],E$2)</f>
        <v>0</v>
      </c>
      <c r="F71" s="475">
        <f ca="1">SUMIFS(Inventarisatie[Oppervlakte],Inventarisatie[Locatie],$BC71,Inventarisatie[Freq. Ma-Vr],$C71,Inventarisatie[Categorie],F$2)</f>
        <v>0</v>
      </c>
      <c r="G71" s="475">
        <f ca="1">SUMIFS(Inventarisatie[Oppervlakte],Inventarisatie[Locatie],$BC71,Inventarisatie[Freq. Ma-Vr],$C71,Inventarisatie[Categorie],G$2)</f>
        <v>0</v>
      </c>
      <c r="H71" s="475">
        <f ca="1">SUMIFS(Inventarisatie[Oppervlakte],Inventarisatie[Locatie],$BC71,Inventarisatie[Freq. Ma-Vr],$C71,Inventarisatie[Categorie],H$2)</f>
        <v>0</v>
      </c>
      <c r="I71" s="476">
        <f ca="1">SUMIFS(Inventarisatie[Oppervlakte],Inventarisatie[Locatie],$BC71,Inventarisatie[Freq. Ma-Vr],$C71,Inventarisatie[Categorie],I$2)</f>
        <v>0</v>
      </c>
      <c r="J71" s="476">
        <f ca="1">SUMIFS(Inventarisatie[Oppervlakte],Inventarisatie[Locatie],$BC71,Inventarisatie[Freq. Ma-Vr],$C71,Inventarisatie[Categorie],J$2)</f>
        <v>0</v>
      </c>
      <c r="K71" s="534"/>
      <c r="L71" s="316" t="b">
        <f>IF(_xlfn.XLOOKUP(BC71,Tabel2[Locatiecode],Tabel2[Type locatie],"",0)="vaccin",TRUE,FALSE)</f>
        <v>0</v>
      </c>
      <c r="BB71" s="9">
        <v>69</v>
      </c>
      <c r="BC71" s="9" t="str">
        <v>DHE-BPL</v>
      </c>
      <c r="BD71" s="9" t="str">
        <f t="shared" ca="1" si="1"/>
        <v/>
      </c>
    </row>
    <row r="72" spans="1:56" ht="0.2" customHeight="1" x14ac:dyDescent="0.2">
      <c r="A72" s="172" cm="1">
        <f t="array" aca="1" ref="A72" ca="1">_xlfn.IFS(SUM(D72:J72)&gt;0,1,OFFSET($K72,-MOD(BB72+4,5),0)=0,2,TRUE,0)</f>
        <v>2</v>
      </c>
      <c r="B72" s="532"/>
      <c r="C72" s="473">
        <v>104</v>
      </c>
      <c r="D72" s="474">
        <f ca="1">SUMIFS(Inventarisatie[Oppervlakte],Inventarisatie[Locatie],$BC72,Inventarisatie[Freq. Ma-Vr],$C72,Inventarisatie[Categorie],D$2)</f>
        <v>0</v>
      </c>
      <c r="E72" s="475">
        <f ca="1">SUMIFS(Inventarisatie[Oppervlakte],Inventarisatie[Locatie],$BC72,Inventarisatie[Freq. Ma-Vr],$C72,Inventarisatie[Categorie],E$2)</f>
        <v>0</v>
      </c>
      <c r="F72" s="475">
        <f ca="1">SUMIFS(Inventarisatie[Oppervlakte],Inventarisatie[Locatie],$BC72,Inventarisatie[Freq. Ma-Vr],$C72,Inventarisatie[Categorie],F$2)</f>
        <v>0</v>
      </c>
      <c r="G72" s="475">
        <f ca="1">SUMIFS(Inventarisatie[Oppervlakte],Inventarisatie[Locatie],$BC72,Inventarisatie[Freq. Ma-Vr],$C72,Inventarisatie[Categorie],G$2)</f>
        <v>0</v>
      </c>
      <c r="H72" s="475">
        <f ca="1">SUMIFS(Inventarisatie[Oppervlakte],Inventarisatie[Locatie],$BC72,Inventarisatie[Freq. Ma-Vr],$C72,Inventarisatie[Categorie],H$2)</f>
        <v>0</v>
      </c>
      <c r="I72" s="476">
        <f ca="1">SUMIFS(Inventarisatie[Oppervlakte],Inventarisatie[Locatie],$BC72,Inventarisatie[Freq. Ma-Vr],$C72,Inventarisatie[Categorie],I$2)</f>
        <v>0</v>
      </c>
      <c r="J72" s="476">
        <f ca="1">SUMIFS(Inventarisatie[Oppervlakte],Inventarisatie[Locatie],$BC72,Inventarisatie[Freq. Ma-Vr],$C72,Inventarisatie[Categorie],J$2)</f>
        <v>0</v>
      </c>
      <c r="K72" s="534"/>
      <c r="L72" s="316" t="b">
        <f>IF(_xlfn.XLOOKUP(BC72,Tabel2[Locatiecode],Tabel2[Type locatie],"",0)="vaccin",TRUE,FALSE)</f>
        <v>0</v>
      </c>
      <c r="BB72" s="9">
        <v>70</v>
      </c>
      <c r="BC72" s="9" t="str">
        <v>DHE-BPL</v>
      </c>
      <c r="BD72" s="9" t="str">
        <f t="shared" ca="1" si="1"/>
        <v/>
      </c>
    </row>
    <row r="73" spans="1:56" ht="0.2" customHeight="1" x14ac:dyDescent="0.2">
      <c r="A73" s="172" cm="1">
        <f t="array" aca="1" ref="A73" ca="1">_xlfn.IFS(SUM(D73:J73)&gt;0,1,OFFSET($K73,-MOD(BB73+4,5),0)=0,2,TRUE,0)</f>
        <v>2</v>
      </c>
      <c r="B73" s="532"/>
      <c r="C73" s="473">
        <v>52</v>
      </c>
      <c r="D73" s="474">
        <f ca="1">SUMIFS(Inventarisatie[Oppervlakte],Inventarisatie[Locatie],$BC73,Inventarisatie[Freq. Ma-Vr],$C73,Inventarisatie[Categorie],D$2)</f>
        <v>0</v>
      </c>
      <c r="E73" s="475">
        <f ca="1">SUMIFS(Inventarisatie[Oppervlakte],Inventarisatie[Locatie],$BC73,Inventarisatie[Freq. Ma-Vr],$C73,Inventarisatie[Categorie],E$2)</f>
        <v>0</v>
      </c>
      <c r="F73" s="475">
        <f ca="1">SUMIFS(Inventarisatie[Oppervlakte],Inventarisatie[Locatie],$BC73,Inventarisatie[Freq. Ma-Vr],$C73,Inventarisatie[Categorie],F$2)</f>
        <v>0</v>
      </c>
      <c r="G73" s="475">
        <f ca="1">SUMIFS(Inventarisatie[Oppervlakte],Inventarisatie[Locatie],$BC73,Inventarisatie[Freq. Ma-Vr],$C73,Inventarisatie[Categorie],G$2)</f>
        <v>0</v>
      </c>
      <c r="H73" s="475">
        <f ca="1">SUMIFS(Inventarisatie[Oppervlakte],Inventarisatie[Locatie],$BC73,Inventarisatie[Freq. Ma-Vr],$C73,Inventarisatie[Categorie],H$2)</f>
        <v>0</v>
      </c>
      <c r="I73" s="476">
        <f ca="1">SUMIFS(Inventarisatie[Oppervlakte],Inventarisatie[Locatie],$BC73,Inventarisatie[Freq. Ma-Vr],$C73,Inventarisatie[Categorie],I$2)</f>
        <v>0</v>
      </c>
      <c r="J73" s="476">
        <f ca="1">SUMIFS(Inventarisatie[Oppervlakte],Inventarisatie[Locatie],$BC73,Inventarisatie[Freq. Ma-Vr],$C73,Inventarisatie[Categorie],J$2)</f>
        <v>0</v>
      </c>
      <c r="K73" s="534"/>
      <c r="L73" s="316" t="b">
        <f>IF(_xlfn.XLOOKUP(BC73,Tabel2[Locatiecode],Tabel2[Type locatie],"",0)="vaccin",TRUE,FALSE)</f>
        <v>0</v>
      </c>
      <c r="BB73" s="9">
        <v>71</v>
      </c>
      <c r="BC73" s="9" t="str">
        <v>DHE-BPL</v>
      </c>
      <c r="BD73" s="9" t="str">
        <f t="shared" ca="1" si="1"/>
        <v/>
      </c>
    </row>
    <row r="74" spans="1:56" ht="0.2" customHeight="1" x14ac:dyDescent="0.2">
      <c r="A74" s="172" cm="1">
        <f t="array" aca="1" ref="A74" ca="1">_xlfn.IFS(SUM(D74:J74)&gt;0,1,OFFSET($K74,-MOD(BB74+4,5),0)=0,2,TRUE,0)</f>
        <v>2</v>
      </c>
      <c r="B74" s="532"/>
      <c r="C74" s="473">
        <v>4</v>
      </c>
      <c r="D74" s="474">
        <f ca="1">SUMIFS(Inventarisatie[Oppervlakte],Inventarisatie[Locatie],$BC74,Inventarisatie[Freq. Ma-Vr],$C74,Inventarisatie[Categorie],D$2)</f>
        <v>0</v>
      </c>
      <c r="E74" s="475">
        <f ca="1">SUMIFS(Inventarisatie[Oppervlakte],Inventarisatie[Locatie],$BC74,Inventarisatie[Freq. Ma-Vr],$C74,Inventarisatie[Categorie],E$2)</f>
        <v>0</v>
      </c>
      <c r="F74" s="475">
        <f ca="1">SUMIFS(Inventarisatie[Oppervlakte],Inventarisatie[Locatie],$BC74,Inventarisatie[Freq. Ma-Vr],$C74,Inventarisatie[Categorie],F$2)</f>
        <v>0</v>
      </c>
      <c r="G74" s="475">
        <f ca="1">SUMIFS(Inventarisatie[Oppervlakte],Inventarisatie[Locatie],$BC74,Inventarisatie[Freq. Ma-Vr],$C74,Inventarisatie[Categorie],G$2)</f>
        <v>0</v>
      </c>
      <c r="H74" s="475">
        <f ca="1">SUMIFS(Inventarisatie[Oppervlakte],Inventarisatie[Locatie],$BC74,Inventarisatie[Freq. Ma-Vr],$C74,Inventarisatie[Categorie],H$2)</f>
        <v>0</v>
      </c>
      <c r="I74" s="476">
        <f ca="1">SUMIFS(Inventarisatie[Oppervlakte],Inventarisatie[Locatie],$BC74,Inventarisatie[Freq. Ma-Vr],$C74,Inventarisatie[Categorie],I$2)</f>
        <v>0</v>
      </c>
      <c r="J74" s="476">
        <f ca="1">SUMIFS(Inventarisatie[Oppervlakte],Inventarisatie[Locatie],$BC74,Inventarisatie[Freq. Ma-Vr],$C74,Inventarisatie[Categorie],J$2)</f>
        <v>0</v>
      </c>
      <c r="K74" s="534"/>
      <c r="L74" s="316" t="b">
        <f>IF(_xlfn.XLOOKUP(BC74,Tabel2[Locatiecode],Tabel2[Type locatie],"",0)="vaccin",TRUE,FALSE)</f>
        <v>0</v>
      </c>
      <c r="BB74" s="9">
        <v>72</v>
      </c>
      <c r="BC74" s="9" t="str">
        <v>DHE-BPL</v>
      </c>
      <c r="BD74" s="9" t="str">
        <f t="shared" ca="1" si="1"/>
        <v/>
      </c>
    </row>
    <row r="75" spans="1:56" ht="15" customHeight="1" x14ac:dyDescent="0.2">
      <c r="A75" s="172" cm="1">
        <f t="array" aca="1" ref="A75" ca="1">_xlfn.IFS(SUM(D75:J75)&gt;0,1,OFFSET($K75,-MOD(BB75+4,5),0)=0,2,TRUE,0)</f>
        <v>1</v>
      </c>
      <c r="B75" s="532" t="str">
        <f>BC75</f>
        <v>DHE-FBW</v>
      </c>
      <c r="C75" s="473">
        <v>255</v>
      </c>
      <c r="D75" s="474">
        <f ca="1">SUMIFS(Inventarisatie[Oppervlakte],Inventarisatie[Locatie],$BC75,Inventarisatie[Freq. Ma-Vr],$C75,Inventarisatie[Categorie],D$2)</f>
        <v>0</v>
      </c>
      <c r="E75" s="475">
        <f ca="1">SUMIFS(Inventarisatie[Oppervlakte],Inventarisatie[Locatie],$BC75,Inventarisatie[Freq. Ma-Vr],$C75,Inventarisatie[Categorie],E$2)</f>
        <v>692.9</v>
      </c>
      <c r="F75" s="475">
        <f ca="1">SUMIFS(Inventarisatie[Oppervlakte],Inventarisatie[Locatie],$BC75,Inventarisatie[Freq. Ma-Vr],$C75,Inventarisatie[Categorie],F$2)</f>
        <v>0</v>
      </c>
      <c r="G75" s="475">
        <f ca="1">SUMIFS(Inventarisatie[Oppervlakte],Inventarisatie[Locatie],$BC75,Inventarisatie[Freq. Ma-Vr],$C75,Inventarisatie[Categorie],G$2)</f>
        <v>100.8</v>
      </c>
      <c r="H75" s="475">
        <f ca="1">SUMIFS(Inventarisatie[Oppervlakte],Inventarisatie[Locatie],$BC75,Inventarisatie[Freq. Ma-Vr],$C75,Inventarisatie[Categorie],H$2)</f>
        <v>32</v>
      </c>
      <c r="I75" s="476">
        <f ca="1">SUMIFS(Inventarisatie[Oppervlakte],Inventarisatie[Locatie],$BC75,Inventarisatie[Freq. Ma-Vr],$C75,Inventarisatie[Categorie],I$2)</f>
        <v>200.10000000000002</v>
      </c>
      <c r="J75" s="476">
        <f ca="1">SUMIFS(Inventarisatie[Oppervlakte],Inventarisatie[Locatie],$BC75,Inventarisatie[Freq. Ma-Vr],$C75,Inventarisatie[Categorie],J$2)</f>
        <v>0</v>
      </c>
      <c r="K75" s="533">
        <f ca="1">SUM(D75:J80)</f>
        <v>1025.8</v>
      </c>
      <c r="L75" s="316" t="b">
        <f>IF(_xlfn.XLOOKUP(BC75,Tabel2[Locatiecode],Tabel2[Type locatie],"",0)="vaccin",TRUE,FALSE)</f>
        <v>1</v>
      </c>
      <c r="BB75" s="9">
        <v>73</v>
      </c>
      <c r="BC75" s="9" t="str">
        <v>DHE-FBW</v>
      </c>
      <c r="BD75" s="9">
        <f t="shared" ca="1" si="1"/>
        <v>255</v>
      </c>
    </row>
    <row r="76" spans="1:56" ht="0.2" customHeight="1" x14ac:dyDescent="0.2">
      <c r="A76" s="172" cm="1">
        <f t="array" aca="1" ref="A76" ca="1">_xlfn.IFS(SUM(D76:J76)&gt;0,1,OFFSET($K76,-MOD(BB76+4,5),0)=0,2,TRUE,0)</f>
        <v>2</v>
      </c>
      <c r="B76" s="532"/>
      <c r="C76" s="473">
        <v>204</v>
      </c>
      <c r="D76" s="474">
        <f ca="1">SUMIFS(Inventarisatie[Oppervlakte],Inventarisatie[Locatie],$BC76,Inventarisatie[Freq. Ma-Vr],$C76,Inventarisatie[Categorie],D$2)</f>
        <v>0</v>
      </c>
      <c r="E76" s="475">
        <f ca="1">SUMIFS(Inventarisatie[Oppervlakte],Inventarisatie[Locatie],$BC76,Inventarisatie[Freq. Ma-Vr],$C76,Inventarisatie[Categorie],E$2)</f>
        <v>0</v>
      </c>
      <c r="F76" s="475">
        <f ca="1">SUMIFS(Inventarisatie[Oppervlakte],Inventarisatie[Locatie],$BC76,Inventarisatie[Freq. Ma-Vr],$C76,Inventarisatie[Categorie],F$2)</f>
        <v>0</v>
      </c>
      <c r="G76" s="475">
        <f ca="1">SUMIFS(Inventarisatie[Oppervlakte],Inventarisatie[Locatie],$BC76,Inventarisatie[Freq. Ma-Vr],$C76,Inventarisatie[Categorie],G$2)</f>
        <v>0</v>
      </c>
      <c r="H76" s="475">
        <f ca="1">SUMIFS(Inventarisatie[Oppervlakte],Inventarisatie[Locatie],$BC76,Inventarisatie[Freq. Ma-Vr],$C76,Inventarisatie[Categorie],H$2)</f>
        <v>0</v>
      </c>
      <c r="I76" s="476">
        <f ca="1">SUMIFS(Inventarisatie[Oppervlakte],Inventarisatie[Locatie],$BC76,Inventarisatie[Freq. Ma-Vr],$C76,Inventarisatie[Categorie],I$2)</f>
        <v>0</v>
      </c>
      <c r="J76" s="476">
        <f ca="1">SUMIFS(Inventarisatie[Oppervlakte],Inventarisatie[Locatie],$BC76,Inventarisatie[Freq. Ma-Vr],$C76,Inventarisatie[Categorie],J$2)</f>
        <v>0</v>
      </c>
      <c r="K76" s="533"/>
      <c r="L76" s="316" t="b">
        <f>IF(_xlfn.XLOOKUP(BC76,Tabel2[Locatiecode],Tabel2[Type locatie],"",0)="vaccin",TRUE,FALSE)</f>
        <v>1</v>
      </c>
      <c r="BB76" s="9">
        <v>74</v>
      </c>
      <c r="BC76" s="9" t="str">
        <v>DHE-FBW</v>
      </c>
      <c r="BD76" s="9" t="str">
        <f t="shared" ca="1" si="1"/>
        <v/>
      </c>
    </row>
    <row r="77" spans="1:56" ht="0.2" customHeight="1" x14ac:dyDescent="0.2">
      <c r="A77" s="172" cm="1">
        <f t="array" aca="1" ref="A77" ca="1">_xlfn.IFS(SUM(D77:J77)&gt;0,1,OFFSET($K77,-MOD(BB77+4,5),0)=0,2,TRUE,0)</f>
        <v>2</v>
      </c>
      <c r="B77" s="532"/>
      <c r="C77" s="473">
        <v>156</v>
      </c>
      <c r="D77" s="474">
        <f ca="1">SUMIFS(Inventarisatie[Oppervlakte],Inventarisatie[Locatie],$BC77,Inventarisatie[Freq. Ma-Vr],$C77,Inventarisatie[Categorie],D$2)</f>
        <v>0</v>
      </c>
      <c r="E77" s="475">
        <f ca="1">SUMIFS(Inventarisatie[Oppervlakte],Inventarisatie[Locatie],$BC77,Inventarisatie[Freq. Ma-Vr],$C77,Inventarisatie[Categorie],E$2)</f>
        <v>0</v>
      </c>
      <c r="F77" s="475">
        <f ca="1">SUMIFS(Inventarisatie[Oppervlakte],Inventarisatie[Locatie],$BC77,Inventarisatie[Freq. Ma-Vr],$C77,Inventarisatie[Categorie],F$2)</f>
        <v>0</v>
      </c>
      <c r="G77" s="475">
        <f ca="1">SUMIFS(Inventarisatie[Oppervlakte],Inventarisatie[Locatie],$BC77,Inventarisatie[Freq. Ma-Vr],$C77,Inventarisatie[Categorie],G$2)</f>
        <v>0</v>
      </c>
      <c r="H77" s="475">
        <f ca="1">SUMIFS(Inventarisatie[Oppervlakte],Inventarisatie[Locatie],$BC77,Inventarisatie[Freq. Ma-Vr],$C77,Inventarisatie[Categorie],H$2)</f>
        <v>0</v>
      </c>
      <c r="I77" s="476">
        <f ca="1">SUMIFS(Inventarisatie[Oppervlakte],Inventarisatie[Locatie],$BC77,Inventarisatie[Freq. Ma-Vr],$C77,Inventarisatie[Categorie],I$2)</f>
        <v>0</v>
      </c>
      <c r="J77" s="476">
        <f ca="1">SUMIFS(Inventarisatie[Oppervlakte],Inventarisatie[Locatie],$BC77,Inventarisatie[Freq. Ma-Vr],$C77,Inventarisatie[Categorie],J$2)</f>
        <v>0</v>
      </c>
      <c r="K77" s="534"/>
      <c r="L77" s="316" t="b">
        <f>IF(_xlfn.XLOOKUP(BC77,Tabel2[Locatiecode],Tabel2[Type locatie],"",0)="vaccin",TRUE,FALSE)</f>
        <v>1</v>
      </c>
      <c r="BB77" s="9">
        <v>75</v>
      </c>
      <c r="BC77" s="9" t="str">
        <v>DHE-FBW</v>
      </c>
      <c r="BD77" s="9" t="str">
        <f t="shared" ca="1" si="1"/>
        <v/>
      </c>
    </row>
    <row r="78" spans="1:56" ht="0.2" customHeight="1" x14ac:dyDescent="0.2">
      <c r="A78" s="172" cm="1">
        <f t="array" aca="1" ref="A78" ca="1">_xlfn.IFS(SUM(D78:J78)&gt;0,1,OFFSET($K78,-MOD(BB78+4,5),0)=0,2,TRUE,0)</f>
        <v>2</v>
      </c>
      <c r="B78" s="532"/>
      <c r="C78" s="473">
        <v>104</v>
      </c>
      <c r="D78" s="474">
        <f ca="1">SUMIFS(Inventarisatie[Oppervlakte],Inventarisatie[Locatie],$BC78,Inventarisatie[Freq. Ma-Vr],$C78,Inventarisatie[Categorie],D$2)</f>
        <v>0</v>
      </c>
      <c r="E78" s="475">
        <f ca="1">SUMIFS(Inventarisatie[Oppervlakte],Inventarisatie[Locatie],$BC78,Inventarisatie[Freq. Ma-Vr],$C78,Inventarisatie[Categorie],E$2)</f>
        <v>0</v>
      </c>
      <c r="F78" s="475">
        <f ca="1">SUMIFS(Inventarisatie[Oppervlakte],Inventarisatie[Locatie],$BC78,Inventarisatie[Freq. Ma-Vr],$C78,Inventarisatie[Categorie],F$2)</f>
        <v>0</v>
      </c>
      <c r="G78" s="475">
        <f ca="1">SUMIFS(Inventarisatie[Oppervlakte],Inventarisatie[Locatie],$BC78,Inventarisatie[Freq. Ma-Vr],$C78,Inventarisatie[Categorie],G$2)</f>
        <v>0</v>
      </c>
      <c r="H78" s="475">
        <f ca="1">SUMIFS(Inventarisatie[Oppervlakte],Inventarisatie[Locatie],$BC78,Inventarisatie[Freq. Ma-Vr],$C78,Inventarisatie[Categorie],H$2)</f>
        <v>0</v>
      </c>
      <c r="I78" s="476">
        <f ca="1">SUMIFS(Inventarisatie[Oppervlakte],Inventarisatie[Locatie],$BC78,Inventarisatie[Freq. Ma-Vr],$C78,Inventarisatie[Categorie],I$2)</f>
        <v>0</v>
      </c>
      <c r="J78" s="476">
        <f ca="1">SUMIFS(Inventarisatie[Oppervlakte],Inventarisatie[Locatie],$BC78,Inventarisatie[Freq. Ma-Vr],$C78,Inventarisatie[Categorie],J$2)</f>
        <v>0</v>
      </c>
      <c r="K78" s="534"/>
      <c r="L78" s="316" t="b">
        <f>IF(_xlfn.XLOOKUP(BC78,Tabel2[Locatiecode],Tabel2[Type locatie],"",0)="vaccin",TRUE,FALSE)</f>
        <v>1</v>
      </c>
      <c r="BB78" s="9">
        <v>76</v>
      </c>
      <c r="BC78" s="9" t="str">
        <v>DHE-FBW</v>
      </c>
      <c r="BD78" s="9" t="str">
        <f t="shared" ca="1" si="1"/>
        <v/>
      </c>
    </row>
    <row r="79" spans="1:56" ht="0.2" customHeight="1" x14ac:dyDescent="0.2">
      <c r="A79" s="172" cm="1">
        <f t="array" aca="1" ref="A79" ca="1">_xlfn.IFS(SUM(D79:J79)&gt;0,1,OFFSET($K79,-MOD(BB79+4,5),0)=0,2,TRUE,0)</f>
        <v>2</v>
      </c>
      <c r="B79" s="532"/>
      <c r="C79" s="473">
        <v>52</v>
      </c>
      <c r="D79" s="474">
        <f ca="1">SUMIFS(Inventarisatie[Oppervlakte],Inventarisatie[Locatie],$BC79,Inventarisatie[Freq. Ma-Vr],$C79,Inventarisatie[Categorie],D$2)</f>
        <v>0</v>
      </c>
      <c r="E79" s="475">
        <f ca="1">SUMIFS(Inventarisatie[Oppervlakte],Inventarisatie[Locatie],$BC79,Inventarisatie[Freq. Ma-Vr],$C79,Inventarisatie[Categorie],E$2)</f>
        <v>0</v>
      </c>
      <c r="F79" s="475">
        <f ca="1">SUMIFS(Inventarisatie[Oppervlakte],Inventarisatie[Locatie],$BC79,Inventarisatie[Freq. Ma-Vr],$C79,Inventarisatie[Categorie],F$2)</f>
        <v>0</v>
      </c>
      <c r="G79" s="475">
        <f ca="1">SUMIFS(Inventarisatie[Oppervlakte],Inventarisatie[Locatie],$BC79,Inventarisatie[Freq. Ma-Vr],$C79,Inventarisatie[Categorie],G$2)</f>
        <v>0</v>
      </c>
      <c r="H79" s="475">
        <f ca="1">SUMIFS(Inventarisatie[Oppervlakte],Inventarisatie[Locatie],$BC79,Inventarisatie[Freq. Ma-Vr],$C79,Inventarisatie[Categorie],H$2)</f>
        <v>0</v>
      </c>
      <c r="I79" s="476">
        <f ca="1">SUMIFS(Inventarisatie[Oppervlakte],Inventarisatie[Locatie],$BC79,Inventarisatie[Freq. Ma-Vr],$C79,Inventarisatie[Categorie],I$2)</f>
        <v>0</v>
      </c>
      <c r="J79" s="476">
        <f ca="1">SUMIFS(Inventarisatie[Oppervlakte],Inventarisatie[Locatie],$BC79,Inventarisatie[Freq. Ma-Vr],$C79,Inventarisatie[Categorie],J$2)</f>
        <v>0</v>
      </c>
      <c r="K79" s="534"/>
      <c r="L79" s="316" t="b">
        <f>IF(_xlfn.XLOOKUP(BC79,Tabel2[Locatiecode],Tabel2[Type locatie],"",0)="vaccin",TRUE,FALSE)</f>
        <v>1</v>
      </c>
      <c r="BB79" s="9">
        <v>77</v>
      </c>
      <c r="BC79" s="9" t="str">
        <v>DHE-FBW</v>
      </c>
      <c r="BD79" s="9" t="str">
        <f t="shared" ca="1" si="1"/>
        <v/>
      </c>
    </row>
    <row r="80" spans="1:56" ht="0.2" customHeight="1" x14ac:dyDescent="0.2">
      <c r="A80" s="172" cm="1">
        <f t="array" aca="1" ref="A80" ca="1">_xlfn.IFS(SUM(D80:J80)&gt;0,1,OFFSET($K80,-MOD(BB80+4,5),0)=0,2,TRUE,0)</f>
        <v>2</v>
      </c>
      <c r="B80" s="532"/>
      <c r="C80" s="473">
        <v>4</v>
      </c>
      <c r="D80" s="474">
        <f ca="1">SUMIFS(Inventarisatie[Oppervlakte],Inventarisatie[Locatie],$BC80,Inventarisatie[Freq. Ma-Vr],$C80,Inventarisatie[Categorie],D$2)</f>
        <v>0</v>
      </c>
      <c r="E80" s="475">
        <f ca="1">SUMIFS(Inventarisatie[Oppervlakte],Inventarisatie[Locatie],$BC80,Inventarisatie[Freq. Ma-Vr],$C80,Inventarisatie[Categorie],E$2)</f>
        <v>0</v>
      </c>
      <c r="F80" s="475">
        <f ca="1">SUMIFS(Inventarisatie[Oppervlakte],Inventarisatie[Locatie],$BC80,Inventarisatie[Freq. Ma-Vr],$C80,Inventarisatie[Categorie],F$2)</f>
        <v>0</v>
      </c>
      <c r="G80" s="475">
        <f ca="1">SUMIFS(Inventarisatie[Oppervlakte],Inventarisatie[Locatie],$BC80,Inventarisatie[Freq. Ma-Vr],$C80,Inventarisatie[Categorie],G$2)</f>
        <v>0</v>
      </c>
      <c r="H80" s="475">
        <f ca="1">SUMIFS(Inventarisatie[Oppervlakte],Inventarisatie[Locatie],$BC80,Inventarisatie[Freq. Ma-Vr],$C80,Inventarisatie[Categorie],H$2)</f>
        <v>0</v>
      </c>
      <c r="I80" s="476">
        <f ca="1">SUMIFS(Inventarisatie[Oppervlakte],Inventarisatie[Locatie],$BC80,Inventarisatie[Freq. Ma-Vr],$C80,Inventarisatie[Categorie],I$2)</f>
        <v>0</v>
      </c>
      <c r="J80" s="476">
        <f ca="1">SUMIFS(Inventarisatie[Oppervlakte],Inventarisatie[Locatie],$BC80,Inventarisatie[Freq. Ma-Vr],$C80,Inventarisatie[Categorie],J$2)</f>
        <v>0</v>
      </c>
      <c r="K80" s="534"/>
      <c r="L80" s="316" t="b">
        <f>IF(_xlfn.XLOOKUP(BC80,Tabel2[Locatiecode],Tabel2[Type locatie],"",0)="vaccin",TRUE,FALSE)</f>
        <v>1</v>
      </c>
      <c r="BB80" s="9">
        <v>78</v>
      </c>
      <c r="BC80" s="9" t="str">
        <v>DHE-FBW</v>
      </c>
      <c r="BD80" s="9" t="str">
        <f t="shared" ca="1" si="1"/>
        <v/>
      </c>
    </row>
    <row r="81" spans="1:56" ht="15" customHeight="1" x14ac:dyDescent="0.2">
      <c r="A81" s="172" cm="1">
        <f t="array" aca="1" ref="A81" ca="1">_xlfn.IFS(SUM(D81:J81)&gt;0,1,OFFSET($K81,-MOD(BB81+4,5),0)=0,2,TRUE,0)</f>
        <v>1</v>
      </c>
      <c r="B81" s="532" t="str">
        <f>BC81</f>
        <v>DHE-TSL</v>
      </c>
      <c r="C81" s="473">
        <v>255</v>
      </c>
      <c r="D81" s="474">
        <f ca="1">SUMIFS(Inventarisatie[Oppervlakte],Inventarisatie[Locatie],$BC81,Inventarisatie[Freq. Ma-Vr],$C81,Inventarisatie[Categorie],D$2)</f>
        <v>53</v>
      </c>
      <c r="E81" s="475">
        <f ca="1">SUMIFS(Inventarisatie[Oppervlakte],Inventarisatie[Locatie],$BC81,Inventarisatie[Freq. Ma-Vr],$C81,Inventarisatie[Categorie],E$2)</f>
        <v>35</v>
      </c>
      <c r="F81" s="475">
        <f ca="1">SUMIFS(Inventarisatie[Oppervlakte],Inventarisatie[Locatie],$BC81,Inventarisatie[Freq. Ma-Vr],$C81,Inventarisatie[Categorie],F$2)</f>
        <v>46</v>
      </c>
      <c r="G81" s="475">
        <f ca="1">SUMIFS(Inventarisatie[Oppervlakte],Inventarisatie[Locatie],$BC81,Inventarisatie[Freq. Ma-Vr],$C81,Inventarisatie[Categorie],G$2)</f>
        <v>0</v>
      </c>
      <c r="H81" s="475">
        <f ca="1">SUMIFS(Inventarisatie[Oppervlakte],Inventarisatie[Locatie],$BC81,Inventarisatie[Freq. Ma-Vr],$C81,Inventarisatie[Categorie],H$2)</f>
        <v>1.5</v>
      </c>
      <c r="I81" s="476">
        <f ca="1">SUMIFS(Inventarisatie[Oppervlakte],Inventarisatie[Locatie],$BC81,Inventarisatie[Freq. Ma-Vr],$C81,Inventarisatie[Categorie],I$2)</f>
        <v>8.5</v>
      </c>
      <c r="J81" s="476">
        <f ca="1">SUMIFS(Inventarisatie[Oppervlakte],Inventarisatie[Locatie],$BC81,Inventarisatie[Freq. Ma-Vr],$C81,Inventarisatie[Categorie],J$2)</f>
        <v>0</v>
      </c>
      <c r="K81" s="533">
        <f ca="1">SUM(D81:J86)</f>
        <v>144</v>
      </c>
      <c r="L81" s="316" t="b">
        <f>IF(_xlfn.XLOOKUP(BC81,Tabel2[Locatiecode],Tabel2[Type locatie],"",0)="vaccin",TRUE,FALSE)</f>
        <v>0</v>
      </c>
      <c r="BB81" s="9">
        <v>79</v>
      </c>
      <c r="BC81" s="9" t="str">
        <v>DHE-TSL</v>
      </c>
      <c r="BD81" s="9">
        <f t="shared" ca="1" si="1"/>
        <v>255</v>
      </c>
    </row>
    <row r="82" spans="1:56" ht="0.2" customHeight="1" x14ac:dyDescent="0.2">
      <c r="A82" s="172" cm="1">
        <f t="array" aca="1" ref="A82" ca="1">_xlfn.IFS(SUM(D82:J82)&gt;0,1,OFFSET($K82,-MOD(BB82+4,5),0)=0,2,TRUE,0)</f>
        <v>2</v>
      </c>
      <c r="B82" s="532"/>
      <c r="C82" s="473">
        <v>204</v>
      </c>
      <c r="D82" s="474">
        <f ca="1">SUMIFS(Inventarisatie[Oppervlakte],Inventarisatie[Locatie],$BC82,Inventarisatie[Freq. Ma-Vr],$C82,Inventarisatie[Categorie],D$2)</f>
        <v>0</v>
      </c>
      <c r="E82" s="475">
        <f ca="1">SUMIFS(Inventarisatie[Oppervlakte],Inventarisatie[Locatie],$BC82,Inventarisatie[Freq. Ma-Vr],$C82,Inventarisatie[Categorie],E$2)</f>
        <v>0</v>
      </c>
      <c r="F82" s="475">
        <f ca="1">SUMIFS(Inventarisatie[Oppervlakte],Inventarisatie[Locatie],$BC82,Inventarisatie[Freq. Ma-Vr],$C82,Inventarisatie[Categorie],F$2)</f>
        <v>0</v>
      </c>
      <c r="G82" s="475">
        <f ca="1">SUMIFS(Inventarisatie[Oppervlakte],Inventarisatie[Locatie],$BC82,Inventarisatie[Freq. Ma-Vr],$C82,Inventarisatie[Categorie],G$2)</f>
        <v>0</v>
      </c>
      <c r="H82" s="475">
        <f ca="1">SUMIFS(Inventarisatie[Oppervlakte],Inventarisatie[Locatie],$BC82,Inventarisatie[Freq. Ma-Vr],$C82,Inventarisatie[Categorie],H$2)</f>
        <v>0</v>
      </c>
      <c r="I82" s="476">
        <f ca="1">SUMIFS(Inventarisatie[Oppervlakte],Inventarisatie[Locatie],$BC82,Inventarisatie[Freq. Ma-Vr],$C82,Inventarisatie[Categorie],I$2)</f>
        <v>0</v>
      </c>
      <c r="J82" s="476">
        <f ca="1">SUMIFS(Inventarisatie[Oppervlakte],Inventarisatie[Locatie],$BC82,Inventarisatie[Freq. Ma-Vr],$C82,Inventarisatie[Categorie],J$2)</f>
        <v>0</v>
      </c>
      <c r="K82" s="533"/>
      <c r="L82" s="316" t="b">
        <f>IF(_xlfn.XLOOKUP(BC82,Tabel2[Locatiecode],Tabel2[Type locatie],"",0)="vaccin",TRUE,FALSE)</f>
        <v>0</v>
      </c>
      <c r="BB82" s="9">
        <v>80</v>
      </c>
      <c r="BC82" s="9" t="str">
        <v>DHE-TSL</v>
      </c>
      <c r="BD82" s="9" t="str">
        <f t="shared" ca="1" si="1"/>
        <v/>
      </c>
    </row>
    <row r="83" spans="1:56" ht="0.2" customHeight="1" x14ac:dyDescent="0.2">
      <c r="A83" s="172" cm="1">
        <f t="array" aca="1" ref="A83" ca="1">_xlfn.IFS(SUM(D83:J83)&gt;0,1,OFFSET($K83,-MOD(BB83+4,5),0)=0,2,TRUE,0)</f>
        <v>2</v>
      </c>
      <c r="B83" s="532"/>
      <c r="C83" s="473">
        <v>156</v>
      </c>
      <c r="D83" s="474">
        <f ca="1">SUMIFS(Inventarisatie[Oppervlakte],Inventarisatie[Locatie],$BC83,Inventarisatie[Freq. Ma-Vr],$C83,Inventarisatie[Categorie],D$2)</f>
        <v>0</v>
      </c>
      <c r="E83" s="475">
        <f ca="1">SUMIFS(Inventarisatie[Oppervlakte],Inventarisatie[Locatie],$BC83,Inventarisatie[Freq. Ma-Vr],$C83,Inventarisatie[Categorie],E$2)</f>
        <v>0</v>
      </c>
      <c r="F83" s="475">
        <f ca="1">SUMIFS(Inventarisatie[Oppervlakte],Inventarisatie[Locatie],$BC83,Inventarisatie[Freq. Ma-Vr],$C83,Inventarisatie[Categorie],F$2)</f>
        <v>0</v>
      </c>
      <c r="G83" s="475">
        <f ca="1">SUMIFS(Inventarisatie[Oppervlakte],Inventarisatie[Locatie],$BC83,Inventarisatie[Freq. Ma-Vr],$C83,Inventarisatie[Categorie],G$2)</f>
        <v>0</v>
      </c>
      <c r="H83" s="475">
        <f ca="1">SUMIFS(Inventarisatie[Oppervlakte],Inventarisatie[Locatie],$BC83,Inventarisatie[Freq. Ma-Vr],$C83,Inventarisatie[Categorie],H$2)</f>
        <v>0</v>
      </c>
      <c r="I83" s="476">
        <f ca="1">SUMIFS(Inventarisatie[Oppervlakte],Inventarisatie[Locatie],$BC83,Inventarisatie[Freq. Ma-Vr],$C83,Inventarisatie[Categorie],I$2)</f>
        <v>0</v>
      </c>
      <c r="J83" s="476">
        <f ca="1">SUMIFS(Inventarisatie[Oppervlakte],Inventarisatie[Locatie],$BC83,Inventarisatie[Freq. Ma-Vr],$C83,Inventarisatie[Categorie],J$2)</f>
        <v>0</v>
      </c>
      <c r="K83" s="534"/>
      <c r="L83" s="316" t="b">
        <f>IF(_xlfn.XLOOKUP(BC83,Tabel2[Locatiecode],Tabel2[Type locatie],"",0)="vaccin",TRUE,FALSE)</f>
        <v>0</v>
      </c>
      <c r="BB83" s="9">
        <v>81</v>
      </c>
      <c r="BC83" s="9" t="str">
        <v>DHE-TSL</v>
      </c>
      <c r="BD83" s="9" t="str">
        <f t="shared" ca="1" si="1"/>
        <v/>
      </c>
    </row>
    <row r="84" spans="1:56" ht="0.2" customHeight="1" x14ac:dyDescent="0.2">
      <c r="A84" s="172" cm="1">
        <f t="array" aca="1" ref="A84" ca="1">_xlfn.IFS(SUM(D84:J84)&gt;0,1,OFFSET($K84,-MOD(BB84+4,5),0)=0,2,TRUE,0)</f>
        <v>2</v>
      </c>
      <c r="B84" s="532"/>
      <c r="C84" s="473">
        <v>104</v>
      </c>
      <c r="D84" s="474">
        <f ca="1">SUMIFS(Inventarisatie[Oppervlakte],Inventarisatie[Locatie],$BC84,Inventarisatie[Freq. Ma-Vr],$C84,Inventarisatie[Categorie],D$2)</f>
        <v>0</v>
      </c>
      <c r="E84" s="475">
        <f ca="1">SUMIFS(Inventarisatie[Oppervlakte],Inventarisatie[Locatie],$BC84,Inventarisatie[Freq. Ma-Vr],$C84,Inventarisatie[Categorie],E$2)</f>
        <v>0</v>
      </c>
      <c r="F84" s="475">
        <f ca="1">SUMIFS(Inventarisatie[Oppervlakte],Inventarisatie[Locatie],$BC84,Inventarisatie[Freq. Ma-Vr],$C84,Inventarisatie[Categorie],F$2)</f>
        <v>0</v>
      </c>
      <c r="G84" s="475">
        <f ca="1">SUMIFS(Inventarisatie[Oppervlakte],Inventarisatie[Locatie],$BC84,Inventarisatie[Freq. Ma-Vr],$C84,Inventarisatie[Categorie],G$2)</f>
        <v>0</v>
      </c>
      <c r="H84" s="475">
        <f ca="1">SUMIFS(Inventarisatie[Oppervlakte],Inventarisatie[Locatie],$BC84,Inventarisatie[Freq. Ma-Vr],$C84,Inventarisatie[Categorie],H$2)</f>
        <v>0</v>
      </c>
      <c r="I84" s="476">
        <f ca="1">SUMIFS(Inventarisatie[Oppervlakte],Inventarisatie[Locatie],$BC84,Inventarisatie[Freq. Ma-Vr],$C84,Inventarisatie[Categorie],I$2)</f>
        <v>0</v>
      </c>
      <c r="J84" s="476">
        <f ca="1">SUMIFS(Inventarisatie[Oppervlakte],Inventarisatie[Locatie],$BC84,Inventarisatie[Freq. Ma-Vr],$C84,Inventarisatie[Categorie],J$2)</f>
        <v>0</v>
      </c>
      <c r="K84" s="534"/>
      <c r="L84" s="316" t="b">
        <f>IF(_xlfn.XLOOKUP(BC84,Tabel2[Locatiecode],Tabel2[Type locatie],"",0)="vaccin",TRUE,FALSE)</f>
        <v>0</v>
      </c>
      <c r="BB84" s="9">
        <v>82</v>
      </c>
      <c r="BC84" s="9" t="str">
        <v>DHE-TSL</v>
      </c>
      <c r="BD84" s="9" t="str">
        <f t="shared" ca="1" si="1"/>
        <v/>
      </c>
    </row>
    <row r="85" spans="1:56" ht="0.2" customHeight="1" x14ac:dyDescent="0.2">
      <c r="A85" s="172" cm="1">
        <f t="array" aca="1" ref="A85" ca="1">_xlfn.IFS(SUM(D85:J85)&gt;0,1,OFFSET($K85,-MOD(BB85+4,5),0)=0,2,TRUE,0)</f>
        <v>2</v>
      </c>
      <c r="B85" s="532"/>
      <c r="C85" s="473">
        <v>52</v>
      </c>
      <c r="D85" s="474">
        <f ca="1">SUMIFS(Inventarisatie[Oppervlakte],Inventarisatie[Locatie],$BC85,Inventarisatie[Freq. Ma-Vr],$C85,Inventarisatie[Categorie],D$2)</f>
        <v>0</v>
      </c>
      <c r="E85" s="475">
        <f ca="1">SUMIFS(Inventarisatie[Oppervlakte],Inventarisatie[Locatie],$BC85,Inventarisatie[Freq. Ma-Vr],$C85,Inventarisatie[Categorie],E$2)</f>
        <v>0</v>
      </c>
      <c r="F85" s="475">
        <f ca="1">SUMIFS(Inventarisatie[Oppervlakte],Inventarisatie[Locatie],$BC85,Inventarisatie[Freq. Ma-Vr],$C85,Inventarisatie[Categorie],F$2)</f>
        <v>0</v>
      </c>
      <c r="G85" s="475">
        <f ca="1">SUMIFS(Inventarisatie[Oppervlakte],Inventarisatie[Locatie],$BC85,Inventarisatie[Freq. Ma-Vr],$C85,Inventarisatie[Categorie],G$2)</f>
        <v>0</v>
      </c>
      <c r="H85" s="475">
        <f ca="1">SUMIFS(Inventarisatie[Oppervlakte],Inventarisatie[Locatie],$BC85,Inventarisatie[Freq. Ma-Vr],$C85,Inventarisatie[Categorie],H$2)</f>
        <v>0</v>
      </c>
      <c r="I85" s="476">
        <f ca="1">SUMIFS(Inventarisatie[Oppervlakte],Inventarisatie[Locatie],$BC85,Inventarisatie[Freq. Ma-Vr],$C85,Inventarisatie[Categorie],I$2)</f>
        <v>0</v>
      </c>
      <c r="J85" s="476">
        <f ca="1">SUMIFS(Inventarisatie[Oppervlakte],Inventarisatie[Locatie],$BC85,Inventarisatie[Freq. Ma-Vr],$C85,Inventarisatie[Categorie],J$2)</f>
        <v>0</v>
      </c>
      <c r="K85" s="534"/>
      <c r="L85" s="316" t="b">
        <f>IF(_xlfn.XLOOKUP(BC85,Tabel2[Locatiecode],Tabel2[Type locatie],"",0)="vaccin",TRUE,FALSE)</f>
        <v>0</v>
      </c>
      <c r="BB85" s="9">
        <v>83</v>
      </c>
      <c r="BC85" s="9" t="str">
        <v>DHE-TSL</v>
      </c>
      <c r="BD85" s="9" t="str">
        <f t="shared" ca="1" si="1"/>
        <v/>
      </c>
    </row>
    <row r="86" spans="1:56" ht="0.2" customHeight="1" x14ac:dyDescent="0.2">
      <c r="A86" s="172" cm="1">
        <f t="array" aca="1" ref="A86" ca="1">_xlfn.IFS(SUM(D86:J86)&gt;0,1,OFFSET($K86,-MOD(BB86+4,5),0)=0,2,TRUE,0)</f>
        <v>2</v>
      </c>
      <c r="B86" s="532"/>
      <c r="C86" s="473">
        <v>4</v>
      </c>
      <c r="D86" s="474">
        <f ca="1">SUMIFS(Inventarisatie[Oppervlakte],Inventarisatie[Locatie],$BC86,Inventarisatie[Freq. Ma-Vr],$C86,Inventarisatie[Categorie],D$2)</f>
        <v>0</v>
      </c>
      <c r="E86" s="475">
        <f ca="1">SUMIFS(Inventarisatie[Oppervlakte],Inventarisatie[Locatie],$BC86,Inventarisatie[Freq. Ma-Vr],$C86,Inventarisatie[Categorie],E$2)</f>
        <v>0</v>
      </c>
      <c r="F86" s="475">
        <f ca="1">SUMIFS(Inventarisatie[Oppervlakte],Inventarisatie[Locatie],$BC86,Inventarisatie[Freq. Ma-Vr],$C86,Inventarisatie[Categorie],F$2)</f>
        <v>0</v>
      </c>
      <c r="G86" s="475">
        <f ca="1">SUMIFS(Inventarisatie[Oppervlakte],Inventarisatie[Locatie],$BC86,Inventarisatie[Freq. Ma-Vr],$C86,Inventarisatie[Categorie],G$2)</f>
        <v>0</v>
      </c>
      <c r="H86" s="475">
        <f ca="1">SUMIFS(Inventarisatie[Oppervlakte],Inventarisatie[Locatie],$BC86,Inventarisatie[Freq. Ma-Vr],$C86,Inventarisatie[Categorie],H$2)</f>
        <v>0</v>
      </c>
      <c r="I86" s="476">
        <f ca="1">SUMIFS(Inventarisatie[Oppervlakte],Inventarisatie[Locatie],$BC86,Inventarisatie[Freq. Ma-Vr],$C86,Inventarisatie[Categorie],I$2)</f>
        <v>0</v>
      </c>
      <c r="J86" s="476">
        <f ca="1">SUMIFS(Inventarisatie[Oppervlakte],Inventarisatie[Locatie],$BC86,Inventarisatie[Freq. Ma-Vr],$C86,Inventarisatie[Categorie],J$2)</f>
        <v>0</v>
      </c>
      <c r="K86" s="534"/>
      <c r="L86" s="316" t="b">
        <f>IF(_xlfn.XLOOKUP(BC86,Tabel2[Locatiecode],Tabel2[Type locatie],"",0)="vaccin",TRUE,FALSE)</f>
        <v>0</v>
      </c>
      <c r="BB86" s="9">
        <v>84</v>
      </c>
      <c r="BC86" s="9" t="str">
        <v>DHE-TSL</v>
      </c>
      <c r="BD86" s="9" t="str">
        <f t="shared" ca="1" si="1"/>
        <v/>
      </c>
    </row>
    <row r="87" spans="1:56" ht="15" customHeight="1" x14ac:dyDescent="0.2">
      <c r="A87" s="172" cm="1">
        <f t="array" aca="1" ref="A87" ca="1">_xlfn.IFS(SUM(D87:J87)&gt;0,1,OFFSET($K87,-MOD(BB87+4,5),0)=0,2,TRUE,0)</f>
        <v>1</v>
      </c>
      <c r="B87" s="532" t="str">
        <f>BC87</f>
        <v>ENK-WWL</v>
      </c>
      <c r="C87" s="473">
        <v>255</v>
      </c>
      <c r="D87" s="474">
        <f ca="1">SUMIFS(Inventarisatie[Oppervlakte],Inventarisatie[Locatie],$BC87,Inventarisatie[Freq. Ma-Vr],$C87,Inventarisatie[Categorie],D$2)</f>
        <v>71.5</v>
      </c>
      <c r="E87" s="475">
        <f ca="1">SUMIFS(Inventarisatie[Oppervlakte],Inventarisatie[Locatie],$BC87,Inventarisatie[Freq. Ma-Vr],$C87,Inventarisatie[Categorie],E$2)</f>
        <v>17</v>
      </c>
      <c r="F87" s="475">
        <f ca="1">SUMIFS(Inventarisatie[Oppervlakte],Inventarisatie[Locatie],$BC87,Inventarisatie[Freq. Ma-Vr],$C87,Inventarisatie[Categorie],F$2)</f>
        <v>78.900000000000006</v>
      </c>
      <c r="G87" s="475">
        <f ca="1">SUMIFS(Inventarisatie[Oppervlakte],Inventarisatie[Locatie],$BC87,Inventarisatie[Freq. Ma-Vr],$C87,Inventarisatie[Categorie],G$2)</f>
        <v>0</v>
      </c>
      <c r="H87" s="475">
        <f ca="1">SUMIFS(Inventarisatie[Oppervlakte],Inventarisatie[Locatie],$BC87,Inventarisatie[Freq. Ma-Vr],$C87,Inventarisatie[Categorie],H$2)</f>
        <v>5.5</v>
      </c>
      <c r="I87" s="476">
        <f ca="1">SUMIFS(Inventarisatie[Oppervlakte],Inventarisatie[Locatie],$BC87,Inventarisatie[Freq. Ma-Vr],$C87,Inventarisatie[Categorie],I$2)</f>
        <v>2</v>
      </c>
      <c r="J87" s="476">
        <f ca="1">SUMIFS(Inventarisatie[Oppervlakte],Inventarisatie[Locatie],$BC87,Inventarisatie[Freq. Ma-Vr],$C87,Inventarisatie[Categorie],J$2)</f>
        <v>0</v>
      </c>
      <c r="K87" s="533">
        <f ca="1">SUM(D87:J92)</f>
        <v>174.9</v>
      </c>
      <c r="L87" s="316" t="b">
        <f>IF(_xlfn.XLOOKUP(BC87,Tabel2[Locatiecode],Tabel2[Type locatie],"",0)="vaccin",TRUE,FALSE)</f>
        <v>0</v>
      </c>
      <c r="BB87" s="9">
        <v>85</v>
      </c>
      <c r="BC87" s="9" t="str">
        <v>ENK-WWL</v>
      </c>
      <c r="BD87" s="9">
        <f t="shared" ca="1" si="1"/>
        <v>255</v>
      </c>
    </row>
    <row r="88" spans="1:56" ht="0.2" customHeight="1" x14ac:dyDescent="0.2">
      <c r="A88" s="172" cm="1">
        <f t="array" aca="1" ref="A88" ca="1">_xlfn.IFS(SUM(D88:J88)&gt;0,1,OFFSET($K88,-MOD(BB88+4,5),0)=0,2,TRUE,0)</f>
        <v>2</v>
      </c>
      <c r="B88" s="532"/>
      <c r="C88" s="473">
        <v>204</v>
      </c>
      <c r="D88" s="474">
        <f ca="1">SUMIFS(Inventarisatie[Oppervlakte],Inventarisatie[Locatie],$BC88,Inventarisatie[Freq. Ma-Vr],$C88,Inventarisatie[Categorie],D$2)</f>
        <v>0</v>
      </c>
      <c r="E88" s="475">
        <f ca="1">SUMIFS(Inventarisatie[Oppervlakte],Inventarisatie[Locatie],$BC88,Inventarisatie[Freq. Ma-Vr],$C88,Inventarisatie[Categorie],E$2)</f>
        <v>0</v>
      </c>
      <c r="F88" s="475">
        <f ca="1">SUMIFS(Inventarisatie[Oppervlakte],Inventarisatie[Locatie],$BC88,Inventarisatie[Freq. Ma-Vr],$C88,Inventarisatie[Categorie],F$2)</f>
        <v>0</v>
      </c>
      <c r="G88" s="475">
        <f ca="1">SUMIFS(Inventarisatie[Oppervlakte],Inventarisatie[Locatie],$BC88,Inventarisatie[Freq. Ma-Vr],$C88,Inventarisatie[Categorie],G$2)</f>
        <v>0</v>
      </c>
      <c r="H88" s="475">
        <f ca="1">SUMIFS(Inventarisatie[Oppervlakte],Inventarisatie[Locatie],$BC88,Inventarisatie[Freq. Ma-Vr],$C88,Inventarisatie[Categorie],H$2)</f>
        <v>0</v>
      </c>
      <c r="I88" s="476">
        <f ca="1">SUMIFS(Inventarisatie[Oppervlakte],Inventarisatie[Locatie],$BC88,Inventarisatie[Freq. Ma-Vr],$C88,Inventarisatie[Categorie],I$2)</f>
        <v>0</v>
      </c>
      <c r="J88" s="476">
        <f ca="1">SUMIFS(Inventarisatie[Oppervlakte],Inventarisatie[Locatie],$BC88,Inventarisatie[Freq. Ma-Vr],$C88,Inventarisatie[Categorie],J$2)</f>
        <v>0</v>
      </c>
      <c r="K88" s="533"/>
      <c r="L88" s="316" t="b">
        <f>IF(_xlfn.XLOOKUP(BC88,Tabel2[Locatiecode],Tabel2[Type locatie],"",0)="vaccin",TRUE,FALSE)</f>
        <v>0</v>
      </c>
      <c r="BB88" s="9">
        <v>86</v>
      </c>
      <c r="BC88" s="9" t="str">
        <v>ENK-WWL</v>
      </c>
      <c r="BD88" s="9" t="str">
        <f t="shared" ca="1" si="1"/>
        <v/>
      </c>
    </row>
    <row r="89" spans="1:56" ht="0.2" customHeight="1" x14ac:dyDescent="0.2">
      <c r="A89" s="172" cm="1">
        <f t="array" aca="1" ref="A89" ca="1">_xlfn.IFS(SUM(D89:J89)&gt;0,1,OFFSET($K89,-MOD(BB89+4,5),0)=0,2,TRUE,0)</f>
        <v>2</v>
      </c>
      <c r="B89" s="532"/>
      <c r="C89" s="473">
        <v>156</v>
      </c>
      <c r="D89" s="474">
        <f ca="1">SUMIFS(Inventarisatie[Oppervlakte],Inventarisatie[Locatie],$BC89,Inventarisatie[Freq. Ma-Vr],$C89,Inventarisatie[Categorie],D$2)</f>
        <v>0</v>
      </c>
      <c r="E89" s="475">
        <f ca="1">SUMIFS(Inventarisatie[Oppervlakte],Inventarisatie[Locatie],$BC89,Inventarisatie[Freq. Ma-Vr],$C89,Inventarisatie[Categorie],E$2)</f>
        <v>0</v>
      </c>
      <c r="F89" s="475">
        <f ca="1">SUMIFS(Inventarisatie[Oppervlakte],Inventarisatie[Locatie],$BC89,Inventarisatie[Freq. Ma-Vr],$C89,Inventarisatie[Categorie],F$2)</f>
        <v>0</v>
      </c>
      <c r="G89" s="475">
        <f ca="1">SUMIFS(Inventarisatie[Oppervlakte],Inventarisatie[Locatie],$BC89,Inventarisatie[Freq. Ma-Vr],$C89,Inventarisatie[Categorie],G$2)</f>
        <v>0</v>
      </c>
      <c r="H89" s="475">
        <f ca="1">SUMIFS(Inventarisatie[Oppervlakte],Inventarisatie[Locatie],$BC89,Inventarisatie[Freq. Ma-Vr],$C89,Inventarisatie[Categorie],H$2)</f>
        <v>0</v>
      </c>
      <c r="I89" s="476">
        <f ca="1">SUMIFS(Inventarisatie[Oppervlakte],Inventarisatie[Locatie],$BC89,Inventarisatie[Freq. Ma-Vr],$C89,Inventarisatie[Categorie],I$2)</f>
        <v>0</v>
      </c>
      <c r="J89" s="476">
        <f ca="1">SUMIFS(Inventarisatie[Oppervlakte],Inventarisatie[Locatie],$BC89,Inventarisatie[Freq. Ma-Vr],$C89,Inventarisatie[Categorie],J$2)</f>
        <v>0</v>
      </c>
      <c r="K89" s="534"/>
      <c r="L89" s="316" t="b">
        <f>IF(_xlfn.XLOOKUP(BC89,Tabel2[Locatiecode],Tabel2[Type locatie],"",0)="vaccin",TRUE,FALSE)</f>
        <v>0</v>
      </c>
      <c r="BB89" s="9">
        <v>87</v>
      </c>
      <c r="BC89" s="9" t="str">
        <v>ENK-WWL</v>
      </c>
      <c r="BD89" s="9" t="str">
        <f t="shared" ca="1" si="1"/>
        <v/>
      </c>
    </row>
    <row r="90" spans="1:56" ht="0.2" customHeight="1" x14ac:dyDescent="0.2">
      <c r="A90" s="172" cm="1">
        <f t="array" aca="1" ref="A90" ca="1">_xlfn.IFS(SUM(D90:J90)&gt;0,1,OFFSET($K90,-MOD(BB90+4,5),0)=0,2,TRUE,0)</f>
        <v>2</v>
      </c>
      <c r="B90" s="532"/>
      <c r="C90" s="473">
        <v>104</v>
      </c>
      <c r="D90" s="474">
        <f ca="1">SUMIFS(Inventarisatie[Oppervlakte],Inventarisatie[Locatie],$BC90,Inventarisatie[Freq. Ma-Vr],$C90,Inventarisatie[Categorie],D$2)</f>
        <v>0</v>
      </c>
      <c r="E90" s="475">
        <f ca="1">SUMIFS(Inventarisatie[Oppervlakte],Inventarisatie[Locatie],$BC90,Inventarisatie[Freq. Ma-Vr],$C90,Inventarisatie[Categorie],E$2)</f>
        <v>0</v>
      </c>
      <c r="F90" s="475">
        <f ca="1">SUMIFS(Inventarisatie[Oppervlakte],Inventarisatie[Locatie],$BC90,Inventarisatie[Freq. Ma-Vr],$C90,Inventarisatie[Categorie],F$2)</f>
        <v>0</v>
      </c>
      <c r="G90" s="475">
        <f ca="1">SUMIFS(Inventarisatie[Oppervlakte],Inventarisatie[Locatie],$BC90,Inventarisatie[Freq. Ma-Vr],$C90,Inventarisatie[Categorie],G$2)</f>
        <v>0</v>
      </c>
      <c r="H90" s="475">
        <f ca="1">SUMIFS(Inventarisatie[Oppervlakte],Inventarisatie[Locatie],$BC90,Inventarisatie[Freq. Ma-Vr],$C90,Inventarisatie[Categorie],H$2)</f>
        <v>0</v>
      </c>
      <c r="I90" s="476">
        <f ca="1">SUMIFS(Inventarisatie[Oppervlakte],Inventarisatie[Locatie],$BC90,Inventarisatie[Freq. Ma-Vr],$C90,Inventarisatie[Categorie],I$2)</f>
        <v>0</v>
      </c>
      <c r="J90" s="476">
        <f ca="1">SUMIFS(Inventarisatie[Oppervlakte],Inventarisatie[Locatie],$BC90,Inventarisatie[Freq. Ma-Vr],$C90,Inventarisatie[Categorie],J$2)</f>
        <v>0</v>
      </c>
      <c r="K90" s="534"/>
      <c r="L90" s="316" t="b">
        <f>IF(_xlfn.XLOOKUP(BC90,Tabel2[Locatiecode],Tabel2[Type locatie],"",0)="vaccin",TRUE,FALSE)</f>
        <v>0</v>
      </c>
      <c r="BB90" s="9">
        <v>88</v>
      </c>
      <c r="BC90" s="9" t="str">
        <v>ENK-WWL</v>
      </c>
      <c r="BD90" s="9" t="str">
        <f t="shared" ca="1" si="1"/>
        <v/>
      </c>
    </row>
    <row r="91" spans="1:56" ht="0.2" customHeight="1" x14ac:dyDescent="0.2">
      <c r="A91" s="172" cm="1">
        <f t="array" aca="1" ref="A91" ca="1">_xlfn.IFS(SUM(D91:J91)&gt;0,1,OFFSET($K91,-MOD(BB91+4,5),0)=0,2,TRUE,0)</f>
        <v>2</v>
      </c>
      <c r="B91" s="532"/>
      <c r="C91" s="473">
        <v>52</v>
      </c>
      <c r="D91" s="474">
        <f ca="1">SUMIFS(Inventarisatie[Oppervlakte],Inventarisatie[Locatie],$BC91,Inventarisatie[Freq. Ma-Vr],$C91,Inventarisatie[Categorie],D$2)</f>
        <v>0</v>
      </c>
      <c r="E91" s="475">
        <f ca="1">SUMIFS(Inventarisatie[Oppervlakte],Inventarisatie[Locatie],$BC91,Inventarisatie[Freq. Ma-Vr],$C91,Inventarisatie[Categorie],E$2)</f>
        <v>0</v>
      </c>
      <c r="F91" s="475">
        <f ca="1">SUMIFS(Inventarisatie[Oppervlakte],Inventarisatie[Locatie],$BC91,Inventarisatie[Freq. Ma-Vr],$C91,Inventarisatie[Categorie],F$2)</f>
        <v>0</v>
      </c>
      <c r="G91" s="475">
        <f ca="1">SUMIFS(Inventarisatie[Oppervlakte],Inventarisatie[Locatie],$BC91,Inventarisatie[Freq. Ma-Vr],$C91,Inventarisatie[Categorie],G$2)</f>
        <v>0</v>
      </c>
      <c r="H91" s="475">
        <f ca="1">SUMIFS(Inventarisatie[Oppervlakte],Inventarisatie[Locatie],$BC91,Inventarisatie[Freq. Ma-Vr],$C91,Inventarisatie[Categorie],H$2)</f>
        <v>0</v>
      </c>
      <c r="I91" s="476">
        <f ca="1">SUMIFS(Inventarisatie[Oppervlakte],Inventarisatie[Locatie],$BC91,Inventarisatie[Freq. Ma-Vr],$C91,Inventarisatie[Categorie],I$2)</f>
        <v>0</v>
      </c>
      <c r="J91" s="476">
        <f ca="1">SUMIFS(Inventarisatie[Oppervlakte],Inventarisatie[Locatie],$BC91,Inventarisatie[Freq. Ma-Vr],$C91,Inventarisatie[Categorie],J$2)</f>
        <v>0</v>
      </c>
      <c r="K91" s="534"/>
      <c r="L91" s="316" t="b">
        <f>IF(_xlfn.XLOOKUP(BC91,Tabel2[Locatiecode],Tabel2[Type locatie],"",0)="vaccin",TRUE,FALSE)</f>
        <v>0</v>
      </c>
      <c r="BB91" s="9">
        <v>89</v>
      </c>
      <c r="BC91" s="9" t="str">
        <v>ENK-WWL</v>
      </c>
      <c r="BD91" s="9" t="str">
        <f t="shared" ca="1" si="1"/>
        <v/>
      </c>
    </row>
    <row r="92" spans="1:56" ht="0.2" customHeight="1" x14ac:dyDescent="0.2">
      <c r="A92" s="172" cm="1">
        <f t="array" aca="1" ref="A92" ca="1">_xlfn.IFS(SUM(D92:J92)&gt;0,1,OFFSET($K92,-MOD(BB92+4,5),0)=0,2,TRUE,0)</f>
        <v>2</v>
      </c>
      <c r="B92" s="532"/>
      <c r="C92" s="473">
        <v>4</v>
      </c>
      <c r="D92" s="474">
        <f ca="1">SUMIFS(Inventarisatie[Oppervlakte],Inventarisatie[Locatie],$BC92,Inventarisatie[Freq. Ma-Vr],$C92,Inventarisatie[Categorie],D$2)</f>
        <v>0</v>
      </c>
      <c r="E92" s="475">
        <f ca="1">SUMIFS(Inventarisatie[Oppervlakte],Inventarisatie[Locatie],$BC92,Inventarisatie[Freq. Ma-Vr],$C92,Inventarisatie[Categorie],E$2)</f>
        <v>0</v>
      </c>
      <c r="F92" s="475">
        <f ca="1">SUMIFS(Inventarisatie[Oppervlakte],Inventarisatie[Locatie],$BC92,Inventarisatie[Freq. Ma-Vr],$C92,Inventarisatie[Categorie],F$2)</f>
        <v>0</v>
      </c>
      <c r="G92" s="475">
        <f ca="1">SUMIFS(Inventarisatie[Oppervlakte],Inventarisatie[Locatie],$BC92,Inventarisatie[Freq. Ma-Vr],$C92,Inventarisatie[Categorie],G$2)</f>
        <v>0</v>
      </c>
      <c r="H92" s="475">
        <f ca="1">SUMIFS(Inventarisatie[Oppervlakte],Inventarisatie[Locatie],$BC92,Inventarisatie[Freq. Ma-Vr],$C92,Inventarisatie[Categorie],H$2)</f>
        <v>0</v>
      </c>
      <c r="I92" s="476">
        <f ca="1">SUMIFS(Inventarisatie[Oppervlakte],Inventarisatie[Locatie],$BC92,Inventarisatie[Freq. Ma-Vr],$C92,Inventarisatie[Categorie],I$2)</f>
        <v>0</v>
      </c>
      <c r="J92" s="476">
        <f ca="1">SUMIFS(Inventarisatie[Oppervlakte],Inventarisatie[Locatie],$BC92,Inventarisatie[Freq. Ma-Vr],$C92,Inventarisatie[Categorie],J$2)</f>
        <v>0</v>
      </c>
      <c r="K92" s="534"/>
      <c r="L92" s="316" t="b">
        <f>IF(_xlfn.XLOOKUP(BC92,Tabel2[Locatiecode],Tabel2[Type locatie],"",0)="vaccin",TRUE,FALSE)</f>
        <v>0</v>
      </c>
      <c r="BB92" s="9">
        <v>90</v>
      </c>
      <c r="BC92" s="9" t="str">
        <v>ENK-WWL</v>
      </c>
      <c r="BD92" s="9" t="str">
        <f t="shared" ca="1" si="1"/>
        <v/>
      </c>
    </row>
    <row r="93" spans="1:56" ht="15" customHeight="1" x14ac:dyDescent="0.2">
      <c r="A93" s="172" cm="1">
        <f t="array" aca="1" ref="A93" ca="1">_xlfn.IFS(SUM(D93:J93)&gt;0,1,OFFSET($K93,-MOD(BB93+4,5),0)=0,2,TRUE,0)</f>
        <v>1</v>
      </c>
      <c r="B93" s="532" t="str">
        <f>BC93</f>
        <v>GRF-JPL</v>
      </c>
      <c r="C93" s="473">
        <v>255</v>
      </c>
      <c r="D93" s="474">
        <f ca="1">SUMIFS(Inventarisatie[Oppervlakte],Inventarisatie[Locatie],$BC93,Inventarisatie[Freq. Ma-Vr],$C93,Inventarisatie[Categorie],D$2)</f>
        <v>40.9</v>
      </c>
      <c r="E93" s="475">
        <f ca="1">SUMIFS(Inventarisatie[Oppervlakte],Inventarisatie[Locatie],$BC93,Inventarisatie[Freq. Ma-Vr],$C93,Inventarisatie[Categorie],E$2)</f>
        <v>0</v>
      </c>
      <c r="F93" s="475">
        <f ca="1">SUMIFS(Inventarisatie[Oppervlakte],Inventarisatie[Locatie],$BC93,Inventarisatie[Freq. Ma-Vr],$C93,Inventarisatie[Categorie],F$2)</f>
        <v>35.200000000000003</v>
      </c>
      <c r="G93" s="475">
        <f ca="1">SUMIFS(Inventarisatie[Oppervlakte],Inventarisatie[Locatie],$BC93,Inventarisatie[Freq. Ma-Vr],$C93,Inventarisatie[Categorie],G$2)</f>
        <v>0</v>
      </c>
      <c r="H93" s="475">
        <f ca="1">SUMIFS(Inventarisatie[Oppervlakte],Inventarisatie[Locatie],$BC93,Inventarisatie[Freq. Ma-Vr],$C93,Inventarisatie[Categorie],H$2)</f>
        <v>1.5</v>
      </c>
      <c r="I93" s="476">
        <f ca="1">SUMIFS(Inventarisatie[Oppervlakte],Inventarisatie[Locatie],$BC93,Inventarisatie[Freq. Ma-Vr],$C93,Inventarisatie[Categorie],I$2)</f>
        <v>13.100000000000001</v>
      </c>
      <c r="J93" s="476">
        <f ca="1">SUMIFS(Inventarisatie[Oppervlakte],Inventarisatie[Locatie],$BC93,Inventarisatie[Freq. Ma-Vr],$C93,Inventarisatie[Categorie],J$2)</f>
        <v>0</v>
      </c>
      <c r="K93" s="533">
        <f ca="1">SUM(D93:J98)</f>
        <v>90.699999999999989</v>
      </c>
      <c r="L93" s="316" t="b">
        <f>IF(_xlfn.XLOOKUP(BC93,Tabel2[Locatiecode],Tabel2[Type locatie],"",0)="vaccin",TRUE,FALSE)</f>
        <v>0</v>
      </c>
      <c r="BB93" s="9">
        <v>91</v>
      </c>
      <c r="BC93" s="9" t="str">
        <v>GRF-JPL</v>
      </c>
      <c r="BD93" s="9">
        <f t="shared" ca="1" si="1"/>
        <v>255</v>
      </c>
    </row>
    <row r="94" spans="1:56" ht="0.2" customHeight="1" x14ac:dyDescent="0.2">
      <c r="A94" s="172" cm="1">
        <f t="array" aca="1" ref="A94" ca="1">_xlfn.IFS(SUM(D94:J94)&gt;0,1,OFFSET($K94,-MOD(BB94+4,5),0)=0,2,TRUE,0)</f>
        <v>0</v>
      </c>
      <c r="B94" s="532"/>
      <c r="C94" s="473">
        <v>204</v>
      </c>
      <c r="D94" s="474">
        <f ca="1">SUMIFS(Inventarisatie[Oppervlakte],Inventarisatie[Locatie],$BC94,Inventarisatie[Freq. Ma-Vr],$C94,Inventarisatie[Categorie],D$2)</f>
        <v>0</v>
      </c>
      <c r="E94" s="475">
        <f ca="1">SUMIFS(Inventarisatie[Oppervlakte],Inventarisatie[Locatie],$BC94,Inventarisatie[Freq. Ma-Vr],$C94,Inventarisatie[Categorie],E$2)</f>
        <v>0</v>
      </c>
      <c r="F94" s="475">
        <f ca="1">SUMIFS(Inventarisatie[Oppervlakte],Inventarisatie[Locatie],$BC94,Inventarisatie[Freq. Ma-Vr],$C94,Inventarisatie[Categorie],F$2)</f>
        <v>0</v>
      </c>
      <c r="G94" s="475">
        <f ca="1">SUMIFS(Inventarisatie[Oppervlakte],Inventarisatie[Locatie],$BC94,Inventarisatie[Freq. Ma-Vr],$C94,Inventarisatie[Categorie],G$2)</f>
        <v>0</v>
      </c>
      <c r="H94" s="475">
        <f ca="1">SUMIFS(Inventarisatie[Oppervlakte],Inventarisatie[Locatie],$BC94,Inventarisatie[Freq. Ma-Vr],$C94,Inventarisatie[Categorie],H$2)</f>
        <v>0</v>
      </c>
      <c r="I94" s="476">
        <f ca="1">SUMIFS(Inventarisatie[Oppervlakte],Inventarisatie[Locatie],$BC94,Inventarisatie[Freq. Ma-Vr],$C94,Inventarisatie[Categorie],I$2)</f>
        <v>0</v>
      </c>
      <c r="J94" s="476">
        <f ca="1">SUMIFS(Inventarisatie[Oppervlakte],Inventarisatie[Locatie],$BC94,Inventarisatie[Freq. Ma-Vr],$C94,Inventarisatie[Categorie],J$2)</f>
        <v>0</v>
      </c>
      <c r="K94" s="533"/>
      <c r="L94" s="316" t="b">
        <f>IF(_xlfn.XLOOKUP(BC94,Tabel2[Locatiecode],Tabel2[Type locatie],"",0)="vaccin",TRUE,FALSE)</f>
        <v>0</v>
      </c>
      <c r="BB94" s="9">
        <v>92</v>
      </c>
      <c r="BC94" s="9" t="str">
        <v>GRF-JPL</v>
      </c>
      <c r="BD94" s="9" t="str">
        <f t="shared" ca="1" si="1"/>
        <v/>
      </c>
    </row>
    <row r="95" spans="1:56" ht="0.2" customHeight="1" x14ac:dyDescent="0.2">
      <c r="A95" s="172" cm="1">
        <f t="array" aca="1" ref="A95" ca="1">_xlfn.IFS(SUM(D95:J95)&gt;0,1,OFFSET($K95,-MOD(BB95+4,5),0)=0,2,TRUE,0)</f>
        <v>0</v>
      </c>
      <c r="B95" s="532"/>
      <c r="C95" s="473">
        <v>156</v>
      </c>
      <c r="D95" s="474">
        <f ca="1">SUMIFS(Inventarisatie[Oppervlakte],Inventarisatie[Locatie],$BC95,Inventarisatie[Freq. Ma-Vr],$C95,Inventarisatie[Categorie],D$2)</f>
        <v>0</v>
      </c>
      <c r="E95" s="475">
        <f ca="1">SUMIFS(Inventarisatie[Oppervlakte],Inventarisatie[Locatie],$BC95,Inventarisatie[Freq. Ma-Vr],$C95,Inventarisatie[Categorie],E$2)</f>
        <v>0</v>
      </c>
      <c r="F95" s="475">
        <f ca="1">SUMIFS(Inventarisatie[Oppervlakte],Inventarisatie[Locatie],$BC95,Inventarisatie[Freq. Ma-Vr],$C95,Inventarisatie[Categorie],F$2)</f>
        <v>0</v>
      </c>
      <c r="G95" s="475">
        <f ca="1">SUMIFS(Inventarisatie[Oppervlakte],Inventarisatie[Locatie],$BC95,Inventarisatie[Freq. Ma-Vr],$C95,Inventarisatie[Categorie],G$2)</f>
        <v>0</v>
      </c>
      <c r="H95" s="475">
        <f ca="1">SUMIFS(Inventarisatie[Oppervlakte],Inventarisatie[Locatie],$BC95,Inventarisatie[Freq. Ma-Vr],$C95,Inventarisatie[Categorie],H$2)</f>
        <v>0</v>
      </c>
      <c r="I95" s="476">
        <f ca="1">SUMIFS(Inventarisatie[Oppervlakte],Inventarisatie[Locatie],$BC95,Inventarisatie[Freq. Ma-Vr],$C95,Inventarisatie[Categorie],I$2)</f>
        <v>0</v>
      </c>
      <c r="J95" s="476">
        <f ca="1">SUMIFS(Inventarisatie[Oppervlakte],Inventarisatie[Locatie],$BC95,Inventarisatie[Freq. Ma-Vr],$C95,Inventarisatie[Categorie],J$2)</f>
        <v>0</v>
      </c>
      <c r="K95" s="534"/>
      <c r="L95" s="316" t="b">
        <f>IF(_xlfn.XLOOKUP(BC95,Tabel2[Locatiecode],Tabel2[Type locatie],"",0)="vaccin",TRUE,FALSE)</f>
        <v>0</v>
      </c>
      <c r="BB95" s="9">
        <v>93</v>
      </c>
      <c r="BC95" s="9" t="str">
        <v>GRF-JPL</v>
      </c>
      <c r="BD95" s="9" t="str">
        <f t="shared" ca="1" si="1"/>
        <v/>
      </c>
    </row>
    <row r="96" spans="1:56" ht="0.2" customHeight="1" x14ac:dyDescent="0.2">
      <c r="A96" s="172" cm="1">
        <f t="array" aca="1" ref="A96" ca="1">_xlfn.IFS(SUM(D96:J96)&gt;0,1,OFFSET($K96,-MOD(BB96+4,5),0)=0,2,TRUE,0)</f>
        <v>0</v>
      </c>
      <c r="B96" s="532"/>
      <c r="C96" s="473">
        <v>104</v>
      </c>
      <c r="D96" s="474">
        <f ca="1">SUMIFS(Inventarisatie[Oppervlakte],Inventarisatie[Locatie],$BC96,Inventarisatie[Freq. Ma-Vr],$C96,Inventarisatie[Categorie],D$2)</f>
        <v>0</v>
      </c>
      <c r="E96" s="475">
        <f ca="1">SUMIFS(Inventarisatie[Oppervlakte],Inventarisatie[Locatie],$BC96,Inventarisatie[Freq. Ma-Vr],$C96,Inventarisatie[Categorie],E$2)</f>
        <v>0</v>
      </c>
      <c r="F96" s="475">
        <f ca="1">SUMIFS(Inventarisatie[Oppervlakte],Inventarisatie[Locatie],$BC96,Inventarisatie[Freq. Ma-Vr],$C96,Inventarisatie[Categorie],F$2)</f>
        <v>0</v>
      </c>
      <c r="G96" s="475">
        <f ca="1">SUMIFS(Inventarisatie[Oppervlakte],Inventarisatie[Locatie],$BC96,Inventarisatie[Freq. Ma-Vr],$C96,Inventarisatie[Categorie],G$2)</f>
        <v>0</v>
      </c>
      <c r="H96" s="475">
        <f ca="1">SUMIFS(Inventarisatie[Oppervlakte],Inventarisatie[Locatie],$BC96,Inventarisatie[Freq. Ma-Vr],$C96,Inventarisatie[Categorie],H$2)</f>
        <v>0</v>
      </c>
      <c r="I96" s="476">
        <f ca="1">SUMIFS(Inventarisatie[Oppervlakte],Inventarisatie[Locatie],$BC96,Inventarisatie[Freq. Ma-Vr],$C96,Inventarisatie[Categorie],I$2)</f>
        <v>0</v>
      </c>
      <c r="J96" s="476">
        <f ca="1">SUMIFS(Inventarisatie[Oppervlakte],Inventarisatie[Locatie],$BC96,Inventarisatie[Freq. Ma-Vr],$C96,Inventarisatie[Categorie],J$2)</f>
        <v>0</v>
      </c>
      <c r="K96" s="534"/>
      <c r="L96" s="316" t="b">
        <f>IF(_xlfn.XLOOKUP(BC96,Tabel2[Locatiecode],Tabel2[Type locatie],"",0)="vaccin",TRUE,FALSE)</f>
        <v>0</v>
      </c>
      <c r="BB96" s="9">
        <v>94</v>
      </c>
      <c r="BC96" s="9" t="str">
        <v>GRF-JPL</v>
      </c>
      <c r="BD96" s="9" t="str">
        <f t="shared" ca="1" si="1"/>
        <v/>
      </c>
    </row>
    <row r="97" spans="1:56" ht="0.2" customHeight="1" x14ac:dyDescent="0.2">
      <c r="A97" s="172" cm="1">
        <f t="array" aca="1" ref="A97" ca="1">_xlfn.IFS(SUM(D97:J97)&gt;0,1,OFFSET($K97,-MOD(BB97+4,5),0)=0,2,TRUE,0)</f>
        <v>0</v>
      </c>
      <c r="B97" s="532"/>
      <c r="C97" s="473">
        <v>52</v>
      </c>
      <c r="D97" s="474">
        <f ca="1">SUMIFS(Inventarisatie[Oppervlakte],Inventarisatie[Locatie],$BC97,Inventarisatie[Freq. Ma-Vr],$C97,Inventarisatie[Categorie],D$2)</f>
        <v>0</v>
      </c>
      <c r="E97" s="475">
        <f ca="1">SUMIFS(Inventarisatie[Oppervlakte],Inventarisatie[Locatie],$BC97,Inventarisatie[Freq. Ma-Vr],$C97,Inventarisatie[Categorie],E$2)</f>
        <v>0</v>
      </c>
      <c r="F97" s="475">
        <f ca="1">SUMIFS(Inventarisatie[Oppervlakte],Inventarisatie[Locatie],$BC97,Inventarisatie[Freq. Ma-Vr],$C97,Inventarisatie[Categorie],F$2)</f>
        <v>0</v>
      </c>
      <c r="G97" s="475">
        <f ca="1">SUMIFS(Inventarisatie[Oppervlakte],Inventarisatie[Locatie],$BC97,Inventarisatie[Freq. Ma-Vr],$C97,Inventarisatie[Categorie],G$2)</f>
        <v>0</v>
      </c>
      <c r="H97" s="475">
        <f ca="1">SUMIFS(Inventarisatie[Oppervlakte],Inventarisatie[Locatie],$BC97,Inventarisatie[Freq. Ma-Vr],$C97,Inventarisatie[Categorie],H$2)</f>
        <v>0</v>
      </c>
      <c r="I97" s="476">
        <f ca="1">SUMIFS(Inventarisatie[Oppervlakte],Inventarisatie[Locatie],$BC97,Inventarisatie[Freq. Ma-Vr],$C97,Inventarisatie[Categorie],I$2)</f>
        <v>0</v>
      </c>
      <c r="J97" s="476">
        <f ca="1">SUMIFS(Inventarisatie[Oppervlakte],Inventarisatie[Locatie],$BC97,Inventarisatie[Freq. Ma-Vr],$C97,Inventarisatie[Categorie],J$2)</f>
        <v>0</v>
      </c>
      <c r="K97" s="534"/>
      <c r="L97" s="316" t="b">
        <f>IF(_xlfn.XLOOKUP(BC97,Tabel2[Locatiecode],Tabel2[Type locatie],"",0)="vaccin",TRUE,FALSE)</f>
        <v>0</v>
      </c>
      <c r="BB97" s="9">
        <v>95</v>
      </c>
      <c r="BC97" s="9" t="str">
        <v>GRF-JPL</v>
      </c>
      <c r="BD97" s="9" t="str">
        <f t="shared" ca="1" si="1"/>
        <v/>
      </c>
    </row>
    <row r="98" spans="1:56" ht="0.2" customHeight="1" x14ac:dyDescent="0.2">
      <c r="A98" s="172" cm="1">
        <f t="array" aca="1" ref="A98" ca="1">_xlfn.IFS(SUM(D98:J98)&gt;0,1,OFFSET($K98,-MOD(BB98+4,5),0)=0,2,TRUE,0)</f>
        <v>2</v>
      </c>
      <c r="B98" s="532"/>
      <c r="C98" s="473">
        <v>4</v>
      </c>
      <c r="D98" s="474">
        <f ca="1">SUMIFS(Inventarisatie[Oppervlakte],Inventarisatie[Locatie],$BC98,Inventarisatie[Freq. Ma-Vr],$C98,Inventarisatie[Categorie],D$2)</f>
        <v>0</v>
      </c>
      <c r="E98" s="475">
        <f ca="1">SUMIFS(Inventarisatie[Oppervlakte],Inventarisatie[Locatie],$BC98,Inventarisatie[Freq. Ma-Vr],$C98,Inventarisatie[Categorie],E$2)</f>
        <v>0</v>
      </c>
      <c r="F98" s="475">
        <f ca="1">SUMIFS(Inventarisatie[Oppervlakte],Inventarisatie[Locatie],$BC98,Inventarisatie[Freq. Ma-Vr],$C98,Inventarisatie[Categorie],F$2)</f>
        <v>0</v>
      </c>
      <c r="G98" s="475">
        <f ca="1">SUMIFS(Inventarisatie[Oppervlakte],Inventarisatie[Locatie],$BC98,Inventarisatie[Freq. Ma-Vr],$C98,Inventarisatie[Categorie],G$2)</f>
        <v>0</v>
      </c>
      <c r="H98" s="475">
        <f ca="1">SUMIFS(Inventarisatie[Oppervlakte],Inventarisatie[Locatie],$BC98,Inventarisatie[Freq. Ma-Vr],$C98,Inventarisatie[Categorie],H$2)</f>
        <v>0</v>
      </c>
      <c r="I98" s="476">
        <f ca="1">SUMIFS(Inventarisatie[Oppervlakte],Inventarisatie[Locatie],$BC98,Inventarisatie[Freq. Ma-Vr],$C98,Inventarisatie[Categorie],I$2)</f>
        <v>0</v>
      </c>
      <c r="J98" s="476">
        <f ca="1">SUMIFS(Inventarisatie[Oppervlakte],Inventarisatie[Locatie],$BC98,Inventarisatie[Freq. Ma-Vr],$C98,Inventarisatie[Categorie],J$2)</f>
        <v>0</v>
      </c>
      <c r="K98" s="534"/>
      <c r="L98" s="316" t="b">
        <f>IF(_xlfn.XLOOKUP(BC98,Tabel2[Locatiecode],Tabel2[Type locatie],"",0)="vaccin",TRUE,FALSE)</f>
        <v>0</v>
      </c>
      <c r="BB98" s="9">
        <v>96</v>
      </c>
      <c r="BC98" s="9" t="str">
        <v>GRF-JPL</v>
      </c>
      <c r="BD98" s="9" t="str">
        <f t="shared" ca="1" si="1"/>
        <v/>
      </c>
    </row>
    <row r="99" spans="1:56" ht="15" customHeight="1" x14ac:dyDescent="0.2">
      <c r="A99" s="172" cm="1">
        <f t="array" aca="1" ref="A99" ca="1">_xlfn.IFS(SUM(D99:J99)&gt;0,1,OFFSET($K99,-MOD(BB99+4,5),0)=0,2,TRUE,0)</f>
        <v>1</v>
      </c>
      <c r="B99" s="532" t="str">
        <f>BC99</f>
        <v>HHW-PRH</v>
      </c>
      <c r="C99" s="473">
        <v>255</v>
      </c>
      <c r="D99" s="474">
        <f ca="1">SUMIFS(Inventarisatie[Oppervlakte],Inventarisatie[Locatie],$BC99,Inventarisatie[Freq. Ma-Vr],$C99,Inventarisatie[Categorie],D$2)</f>
        <v>88.6</v>
      </c>
      <c r="E99" s="475">
        <f ca="1">SUMIFS(Inventarisatie[Oppervlakte],Inventarisatie[Locatie],$BC99,Inventarisatie[Freq. Ma-Vr],$C99,Inventarisatie[Categorie],E$2)</f>
        <v>28.799999999999997</v>
      </c>
      <c r="F99" s="475">
        <f ca="1">SUMIFS(Inventarisatie[Oppervlakte],Inventarisatie[Locatie],$BC99,Inventarisatie[Freq. Ma-Vr],$C99,Inventarisatie[Categorie],F$2)</f>
        <v>175</v>
      </c>
      <c r="G99" s="475">
        <f ca="1">SUMIFS(Inventarisatie[Oppervlakte],Inventarisatie[Locatie],$BC99,Inventarisatie[Freq. Ma-Vr],$C99,Inventarisatie[Categorie],G$2)</f>
        <v>0</v>
      </c>
      <c r="H99" s="475">
        <f ca="1">SUMIFS(Inventarisatie[Oppervlakte],Inventarisatie[Locatie],$BC99,Inventarisatie[Freq. Ma-Vr],$C99,Inventarisatie[Categorie],H$2)</f>
        <v>11.4</v>
      </c>
      <c r="I99" s="476">
        <f ca="1">SUMIFS(Inventarisatie[Oppervlakte],Inventarisatie[Locatie],$BC99,Inventarisatie[Freq. Ma-Vr],$C99,Inventarisatie[Categorie],I$2)</f>
        <v>48.9</v>
      </c>
      <c r="J99" s="476">
        <f ca="1">SUMIFS(Inventarisatie[Oppervlakte],Inventarisatie[Locatie],$BC99,Inventarisatie[Freq. Ma-Vr],$C99,Inventarisatie[Categorie],J$2)</f>
        <v>0</v>
      </c>
      <c r="K99" s="533">
        <f ca="1">SUM(D99:J104)</f>
        <v>352.69999999999993</v>
      </c>
      <c r="L99" s="316" t="b">
        <f>IF(_xlfn.XLOOKUP(BC99,Tabel2[Locatiecode],Tabel2[Type locatie],"",0)="vaccin",TRUE,FALSE)</f>
        <v>0</v>
      </c>
      <c r="BB99" s="9">
        <v>97</v>
      </c>
      <c r="BC99" s="9" t="str">
        <v>HHW-PRH</v>
      </c>
      <c r="BD99" s="9">
        <f t="shared" ca="1" si="1"/>
        <v>255</v>
      </c>
    </row>
    <row r="100" spans="1:56" ht="0.2" customHeight="1" x14ac:dyDescent="0.2">
      <c r="A100" s="172" cm="1">
        <f t="array" aca="1" ref="A100" ca="1">_xlfn.IFS(SUM(D100:J100)&gt;0,1,OFFSET($K100,-MOD(BB100+4,5),0)=0,2,TRUE,0)</f>
        <v>2</v>
      </c>
      <c r="B100" s="532"/>
      <c r="C100" s="473">
        <v>204</v>
      </c>
      <c r="D100" s="474">
        <f ca="1">SUMIFS(Inventarisatie[Oppervlakte],Inventarisatie[Locatie],$BC100,Inventarisatie[Freq. Ma-Vr],$C100,Inventarisatie[Categorie],D$2)</f>
        <v>0</v>
      </c>
      <c r="E100" s="475">
        <f ca="1">SUMIFS(Inventarisatie[Oppervlakte],Inventarisatie[Locatie],$BC100,Inventarisatie[Freq. Ma-Vr],$C100,Inventarisatie[Categorie],E$2)</f>
        <v>0</v>
      </c>
      <c r="F100" s="475">
        <f ca="1">SUMIFS(Inventarisatie[Oppervlakte],Inventarisatie[Locatie],$BC100,Inventarisatie[Freq. Ma-Vr],$C100,Inventarisatie[Categorie],F$2)</f>
        <v>0</v>
      </c>
      <c r="G100" s="475">
        <f ca="1">SUMIFS(Inventarisatie[Oppervlakte],Inventarisatie[Locatie],$BC100,Inventarisatie[Freq. Ma-Vr],$C100,Inventarisatie[Categorie],G$2)</f>
        <v>0</v>
      </c>
      <c r="H100" s="475">
        <f ca="1">SUMIFS(Inventarisatie[Oppervlakte],Inventarisatie[Locatie],$BC100,Inventarisatie[Freq. Ma-Vr],$C100,Inventarisatie[Categorie],H$2)</f>
        <v>0</v>
      </c>
      <c r="I100" s="476">
        <f ca="1">SUMIFS(Inventarisatie[Oppervlakte],Inventarisatie[Locatie],$BC100,Inventarisatie[Freq. Ma-Vr],$C100,Inventarisatie[Categorie],I$2)</f>
        <v>0</v>
      </c>
      <c r="J100" s="476">
        <f ca="1">SUMIFS(Inventarisatie[Oppervlakte],Inventarisatie[Locatie],$BC100,Inventarisatie[Freq. Ma-Vr],$C100,Inventarisatie[Categorie],J$2)</f>
        <v>0</v>
      </c>
      <c r="K100" s="533"/>
      <c r="L100" s="316" t="b">
        <f>IF(_xlfn.XLOOKUP(BC100,Tabel2[Locatiecode],Tabel2[Type locatie],"",0)="vaccin",TRUE,FALSE)</f>
        <v>0</v>
      </c>
      <c r="BB100" s="9">
        <v>98</v>
      </c>
      <c r="BC100" s="9" t="str">
        <v>HHW-PRH</v>
      </c>
      <c r="BD100" s="9" t="str">
        <f t="shared" ca="1" si="1"/>
        <v/>
      </c>
    </row>
    <row r="101" spans="1:56" ht="0.2" customHeight="1" x14ac:dyDescent="0.2">
      <c r="A101" s="172" cm="1">
        <f t="array" aca="1" ref="A101" ca="1">_xlfn.IFS(SUM(D101:J101)&gt;0,1,OFFSET($K101,-MOD(BB101+4,5),0)=0,2,TRUE,0)</f>
        <v>2</v>
      </c>
      <c r="B101" s="532"/>
      <c r="C101" s="473">
        <v>156</v>
      </c>
      <c r="D101" s="474">
        <f ca="1">SUMIFS(Inventarisatie[Oppervlakte],Inventarisatie[Locatie],$BC101,Inventarisatie[Freq. Ma-Vr],$C101,Inventarisatie[Categorie],D$2)</f>
        <v>0</v>
      </c>
      <c r="E101" s="475">
        <f ca="1">SUMIFS(Inventarisatie[Oppervlakte],Inventarisatie[Locatie],$BC101,Inventarisatie[Freq. Ma-Vr],$C101,Inventarisatie[Categorie],E$2)</f>
        <v>0</v>
      </c>
      <c r="F101" s="475">
        <f ca="1">SUMIFS(Inventarisatie[Oppervlakte],Inventarisatie[Locatie],$BC101,Inventarisatie[Freq. Ma-Vr],$C101,Inventarisatie[Categorie],F$2)</f>
        <v>0</v>
      </c>
      <c r="G101" s="475">
        <f ca="1">SUMIFS(Inventarisatie[Oppervlakte],Inventarisatie[Locatie],$BC101,Inventarisatie[Freq. Ma-Vr],$C101,Inventarisatie[Categorie],G$2)</f>
        <v>0</v>
      </c>
      <c r="H101" s="475">
        <f ca="1">SUMIFS(Inventarisatie[Oppervlakte],Inventarisatie[Locatie],$BC101,Inventarisatie[Freq. Ma-Vr],$C101,Inventarisatie[Categorie],H$2)</f>
        <v>0</v>
      </c>
      <c r="I101" s="476">
        <f ca="1">SUMIFS(Inventarisatie[Oppervlakte],Inventarisatie[Locatie],$BC101,Inventarisatie[Freq. Ma-Vr],$C101,Inventarisatie[Categorie],I$2)</f>
        <v>0</v>
      </c>
      <c r="J101" s="476">
        <f ca="1">SUMIFS(Inventarisatie[Oppervlakte],Inventarisatie[Locatie],$BC101,Inventarisatie[Freq. Ma-Vr],$C101,Inventarisatie[Categorie],J$2)</f>
        <v>0</v>
      </c>
      <c r="K101" s="534"/>
      <c r="L101" s="316" t="b">
        <f>IF(_xlfn.XLOOKUP(BC101,Tabel2[Locatiecode],Tabel2[Type locatie],"",0)="vaccin",TRUE,FALSE)</f>
        <v>0</v>
      </c>
      <c r="BB101" s="9">
        <v>99</v>
      </c>
      <c r="BC101" s="9" t="str">
        <v>HHW-PRH</v>
      </c>
      <c r="BD101" s="9" t="str">
        <f t="shared" ca="1" si="1"/>
        <v/>
      </c>
    </row>
    <row r="102" spans="1:56" ht="0.2" customHeight="1" x14ac:dyDescent="0.2">
      <c r="A102" s="172" cm="1">
        <f t="array" aca="1" ref="A102" ca="1">_xlfn.IFS(SUM(D102:J102)&gt;0,1,OFFSET($K102,-MOD(BB102+4,5),0)=0,2,TRUE,0)</f>
        <v>2</v>
      </c>
      <c r="B102" s="532"/>
      <c r="C102" s="473">
        <v>104</v>
      </c>
      <c r="D102" s="474">
        <f ca="1">SUMIFS(Inventarisatie[Oppervlakte],Inventarisatie[Locatie],$BC102,Inventarisatie[Freq. Ma-Vr],$C102,Inventarisatie[Categorie],D$2)</f>
        <v>0</v>
      </c>
      <c r="E102" s="475">
        <f ca="1">SUMIFS(Inventarisatie[Oppervlakte],Inventarisatie[Locatie],$BC102,Inventarisatie[Freq. Ma-Vr],$C102,Inventarisatie[Categorie],E$2)</f>
        <v>0</v>
      </c>
      <c r="F102" s="475">
        <f ca="1">SUMIFS(Inventarisatie[Oppervlakte],Inventarisatie[Locatie],$BC102,Inventarisatie[Freq. Ma-Vr],$C102,Inventarisatie[Categorie],F$2)</f>
        <v>0</v>
      </c>
      <c r="G102" s="475">
        <f ca="1">SUMIFS(Inventarisatie[Oppervlakte],Inventarisatie[Locatie],$BC102,Inventarisatie[Freq. Ma-Vr],$C102,Inventarisatie[Categorie],G$2)</f>
        <v>0</v>
      </c>
      <c r="H102" s="475">
        <f ca="1">SUMIFS(Inventarisatie[Oppervlakte],Inventarisatie[Locatie],$BC102,Inventarisatie[Freq. Ma-Vr],$C102,Inventarisatie[Categorie],H$2)</f>
        <v>0</v>
      </c>
      <c r="I102" s="476">
        <f ca="1">SUMIFS(Inventarisatie[Oppervlakte],Inventarisatie[Locatie],$BC102,Inventarisatie[Freq. Ma-Vr],$C102,Inventarisatie[Categorie],I$2)</f>
        <v>0</v>
      </c>
      <c r="J102" s="476">
        <f ca="1">SUMIFS(Inventarisatie[Oppervlakte],Inventarisatie[Locatie],$BC102,Inventarisatie[Freq. Ma-Vr],$C102,Inventarisatie[Categorie],J$2)</f>
        <v>0</v>
      </c>
      <c r="K102" s="534"/>
      <c r="L102" s="316" t="b">
        <f>IF(_xlfn.XLOOKUP(BC102,Tabel2[Locatiecode],Tabel2[Type locatie],"",0)="vaccin",TRUE,FALSE)</f>
        <v>0</v>
      </c>
      <c r="BB102" s="9">
        <v>100</v>
      </c>
      <c r="BC102" s="9" t="str">
        <v>HHW-PRH</v>
      </c>
      <c r="BD102" s="9" t="str">
        <f t="shared" ca="1" si="1"/>
        <v/>
      </c>
    </row>
    <row r="103" spans="1:56" ht="0.2" customHeight="1" x14ac:dyDescent="0.2">
      <c r="A103" s="172" cm="1">
        <f t="array" aca="1" ref="A103" ca="1">_xlfn.IFS(SUM(D103:J103)&gt;0,1,OFFSET($K103,-MOD(BB103+4,5),0)=0,2,TRUE,0)</f>
        <v>2</v>
      </c>
      <c r="B103" s="532"/>
      <c r="C103" s="473">
        <v>52</v>
      </c>
      <c r="D103" s="474">
        <f ca="1">SUMIFS(Inventarisatie[Oppervlakte],Inventarisatie[Locatie],$BC103,Inventarisatie[Freq. Ma-Vr],$C103,Inventarisatie[Categorie],D$2)</f>
        <v>0</v>
      </c>
      <c r="E103" s="475">
        <f ca="1">SUMIFS(Inventarisatie[Oppervlakte],Inventarisatie[Locatie],$BC103,Inventarisatie[Freq. Ma-Vr],$C103,Inventarisatie[Categorie],E$2)</f>
        <v>0</v>
      </c>
      <c r="F103" s="475">
        <f ca="1">SUMIFS(Inventarisatie[Oppervlakte],Inventarisatie[Locatie],$BC103,Inventarisatie[Freq. Ma-Vr],$C103,Inventarisatie[Categorie],F$2)</f>
        <v>0</v>
      </c>
      <c r="G103" s="475">
        <f ca="1">SUMIFS(Inventarisatie[Oppervlakte],Inventarisatie[Locatie],$BC103,Inventarisatie[Freq. Ma-Vr],$C103,Inventarisatie[Categorie],G$2)</f>
        <v>0</v>
      </c>
      <c r="H103" s="475">
        <f ca="1">SUMIFS(Inventarisatie[Oppervlakte],Inventarisatie[Locatie],$BC103,Inventarisatie[Freq. Ma-Vr],$C103,Inventarisatie[Categorie],H$2)</f>
        <v>0</v>
      </c>
      <c r="I103" s="476">
        <f ca="1">SUMIFS(Inventarisatie[Oppervlakte],Inventarisatie[Locatie],$BC103,Inventarisatie[Freq. Ma-Vr],$C103,Inventarisatie[Categorie],I$2)</f>
        <v>0</v>
      </c>
      <c r="J103" s="476">
        <f ca="1">SUMIFS(Inventarisatie[Oppervlakte],Inventarisatie[Locatie],$BC103,Inventarisatie[Freq. Ma-Vr],$C103,Inventarisatie[Categorie],J$2)</f>
        <v>0</v>
      </c>
      <c r="K103" s="534"/>
      <c r="L103" s="316" t="b">
        <f>IF(_xlfn.XLOOKUP(BC103,Tabel2[Locatiecode],Tabel2[Type locatie],"",0)="vaccin",TRUE,FALSE)</f>
        <v>0</v>
      </c>
      <c r="BB103" s="9">
        <v>101</v>
      </c>
      <c r="BC103" s="9" t="str">
        <v>HHW-PRH</v>
      </c>
      <c r="BD103" s="9" t="str">
        <f t="shared" ca="1" si="1"/>
        <v/>
      </c>
    </row>
    <row r="104" spans="1:56" ht="0.2" customHeight="1" x14ac:dyDescent="0.2">
      <c r="A104" s="172" cm="1">
        <f t="array" aca="1" ref="A104" ca="1">_xlfn.IFS(SUM(D104:J104)&gt;0,1,OFFSET($K104,-MOD(BB104+4,5),0)=0,2,TRUE,0)</f>
        <v>2</v>
      </c>
      <c r="B104" s="532"/>
      <c r="C104" s="473">
        <v>4</v>
      </c>
      <c r="D104" s="474">
        <f ca="1">SUMIFS(Inventarisatie[Oppervlakte],Inventarisatie[Locatie],$BC104,Inventarisatie[Freq. Ma-Vr],$C104,Inventarisatie[Categorie],D$2)</f>
        <v>0</v>
      </c>
      <c r="E104" s="475">
        <f ca="1">SUMIFS(Inventarisatie[Oppervlakte],Inventarisatie[Locatie],$BC104,Inventarisatie[Freq. Ma-Vr],$C104,Inventarisatie[Categorie],E$2)</f>
        <v>0</v>
      </c>
      <c r="F104" s="475">
        <f ca="1">SUMIFS(Inventarisatie[Oppervlakte],Inventarisatie[Locatie],$BC104,Inventarisatie[Freq. Ma-Vr],$C104,Inventarisatie[Categorie],F$2)</f>
        <v>0</v>
      </c>
      <c r="G104" s="475">
        <f ca="1">SUMIFS(Inventarisatie[Oppervlakte],Inventarisatie[Locatie],$BC104,Inventarisatie[Freq. Ma-Vr],$C104,Inventarisatie[Categorie],G$2)</f>
        <v>0</v>
      </c>
      <c r="H104" s="475">
        <f ca="1">SUMIFS(Inventarisatie[Oppervlakte],Inventarisatie[Locatie],$BC104,Inventarisatie[Freq. Ma-Vr],$C104,Inventarisatie[Categorie],H$2)</f>
        <v>0</v>
      </c>
      <c r="I104" s="476">
        <f ca="1">SUMIFS(Inventarisatie[Oppervlakte],Inventarisatie[Locatie],$BC104,Inventarisatie[Freq. Ma-Vr],$C104,Inventarisatie[Categorie],I$2)</f>
        <v>0</v>
      </c>
      <c r="J104" s="476">
        <f ca="1">SUMIFS(Inventarisatie[Oppervlakte],Inventarisatie[Locatie],$BC104,Inventarisatie[Freq. Ma-Vr],$C104,Inventarisatie[Categorie],J$2)</f>
        <v>0</v>
      </c>
      <c r="K104" s="534"/>
      <c r="L104" s="316" t="b">
        <f>IF(_xlfn.XLOOKUP(BC104,Tabel2[Locatiecode],Tabel2[Type locatie],"",0)="vaccin",TRUE,FALSE)</f>
        <v>0</v>
      </c>
      <c r="BB104" s="9">
        <v>102</v>
      </c>
      <c r="BC104" s="9" t="str">
        <v>HHW-PRH</v>
      </c>
      <c r="BD104" s="9" t="str">
        <f t="shared" ca="1" si="1"/>
        <v/>
      </c>
    </row>
    <row r="105" spans="1:56" ht="15" customHeight="1" x14ac:dyDescent="0.2">
      <c r="A105" s="172" cm="1">
        <f t="array" aca="1" ref="A105" ca="1">_xlfn.IFS(SUM(D105:J105)&gt;0,1,OFFSET($K105,-MOD(BB105+4,5),0)=0,2,TRUE,0)</f>
        <v>1</v>
      </c>
      <c r="B105" s="532" t="str">
        <f>BC105</f>
        <v>HKS-ODN</v>
      </c>
      <c r="C105" s="473">
        <v>255</v>
      </c>
      <c r="D105" s="474">
        <f ca="1">SUMIFS(Inventarisatie[Oppervlakte],Inventarisatie[Locatie],$BC105,Inventarisatie[Freq. Ma-Vr],$C105,Inventarisatie[Categorie],D$2)</f>
        <v>30.1</v>
      </c>
      <c r="E105" s="475">
        <f ca="1">SUMIFS(Inventarisatie[Oppervlakte],Inventarisatie[Locatie],$BC105,Inventarisatie[Freq. Ma-Vr],$C105,Inventarisatie[Categorie],E$2)</f>
        <v>17.100000000000001</v>
      </c>
      <c r="F105" s="475">
        <f ca="1">SUMIFS(Inventarisatie[Oppervlakte],Inventarisatie[Locatie],$BC105,Inventarisatie[Freq. Ma-Vr],$C105,Inventarisatie[Categorie],F$2)</f>
        <v>31.8</v>
      </c>
      <c r="G105" s="475">
        <f ca="1">SUMIFS(Inventarisatie[Oppervlakte],Inventarisatie[Locatie],$BC105,Inventarisatie[Freq. Ma-Vr],$C105,Inventarisatie[Categorie],G$2)</f>
        <v>1.9</v>
      </c>
      <c r="H105" s="475">
        <f ca="1">SUMIFS(Inventarisatie[Oppervlakte],Inventarisatie[Locatie],$BC105,Inventarisatie[Freq. Ma-Vr],$C105,Inventarisatie[Categorie],H$2)</f>
        <v>5.3</v>
      </c>
      <c r="I105" s="476">
        <f ca="1">SUMIFS(Inventarisatie[Oppervlakte],Inventarisatie[Locatie],$BC105,Inventarisatie[Freq. Ma-Vr],$C105,Inventarisatie[Categorie],I$2)</f>
        <v>19.899999999999999</v>
      </c>
      <c r="J105" s="476">
        <f ca="1">SUMIFS(Inventarisatie[Oppervlakte],Inventarisatie[Locatie],$BC105,Inventarisatie[Freq. Ma-Vr],$C105,Inventarisatie[Categorie],J$2)</f>
        <v>0</v>
      </c>
      <c r="K105" s="533">
        <f ca="1">SUM(D105:J110)</f>
        <v>106.1</v>
      </c>
      <c r="L105" s="316" t="b">
        <f>IF(_xlfn.XLOOKUP(BC105,Tabel2[Locatiecode],Tabel2[Type locatie],"",0)="vaccin",TRUE,FALSE)</f>
        <v>0</v>
      </c>
      <c r="BB105" s="9">
        <v>103</v>
      </c>
      <c r="BC105" s="9" t="str">
        <v>HKS-ODN</v>
      </c>
      <c r="BD105" s="9">
        <f t="shared" ca="1" si="1"/>
        <v>255</v>
      </c>
    </row>
    <row r="106" spans="1:56" ht="0.2" customHeight="1" x14ac:dyDescent="0.2">
      <c r="A106" s="172" cm="1">
        <f t="array" aca="1" ref="A106" ca="1">_xlfn.IFS(SUM(D106:J106)&gt;0,1,OFFSET($K106,-MOD(BB106+4,5),0)=0,2,TRUE,0)</f>
        <v>2</v>
      </c>
      <c r="B106" s="532"/>
      <c r="C106" s="473">
        <v>204</v>
      </c>
      <c r="D106" s="474">
        <f ca="1">SUMIFS(Inventarisatie[Oppervlakte],Inventarisatie[Locatie],$BC106,Inventarisatie[Freq. Ma-Vr],$C106,Inventarisatie[Categorie],D$2)</f>
        <v>0</v>
      </c>
      <c r="E106" s="475">
        <f ca="1">SUMIFS(Inventarisatie[Oppervlakte],Inventarisatie[Locatie],$BC106,Inventarisatie[Freq. Ma-Vr],$C106,Inventarisatie[Categorie],E$2)</f>
        <v>0</v>
      </c>
      <c r="F106" s="475">
        <f ca="1">SUMIFS(Inventarisatie[Oppervlakte],Inventarisatie[Locatie],$BC106,Inventarisatie[Freq. Ma-Vr],$C106,Inventarisatie[Categorie],F$2)</f>
        <v>0</v>
      </c>
      <c r="G106" s="475">
        <f ca="1">SUMIFS(Inventarisatie[Oppervlakte],Inventarisatie[Locatie],$BC106,Inventarisatie[Freq. Ma-Vr],$C106,Inventarisatie[Categorie],G$2)</f>
        <v>0</v>
      </c>
      <c r="H106" s="475">
        <f ca="1">SUMIFS(Inventarisatie[Oppervlakte],Inventarisatie[Locatie],$BC106,Inventarisatie[Freq. Ma-Vr],$C106,Inventarisatie[Categorie],H$2)</f>
        <v>0</v>
      </c>
      <c r="I106" s="476">
        <f ca="1">SUMIFS(Inventarisatie[Oppervlakte],Inventarisatie[Locatie],$BC106,Inventarisatie[Freq. Ma-Vr],$C106,Inventarisatie[Categorie],I$2)</f>
        <v>0</v>
      </c>
      <c r="J106" s="476">
        <f ca="1">SUMIFS(Inventarisatie[Oppervlakte],Inventarisatie[Locatie],$BC106,Inventarisatie[Freq. Ma-Vr],$C106,Inventarisatie[Categorie],J$2)</f>
        <v>0</v>
      </c>
      <c r="K106" s="533"/>
      <c r="L106" s="316" t="b">
        <f>IF(_xlfn.XLOOKUP(BC106,Tabel2[Locatiecode],Tabel2[Type locatie],"",0)="vaccin",TRUE,FALSE)</f>
        <v>0</v>
      </c>
      <c r="BB106" s="9">
        <v>104</v>
      </c>
      <c r="BC106" s="9" t="str">
        <v>HKS-ODN</v>
      </c>
      <c r="BD106" s="9" t="str">
        <f t="shared" ca="1" si="1"/>
        <v/>
      </c>
    </row>
    <row r="107" spans="1:56" ht="0.2" customHeight="1" x14ac:dyDescent="0.2">
      <c r="A107" s="172" cm="1">
        <f t="array" aca="1" ref="A107" ca="1">_xlfn.IFS(SUM(D107:J107)&gt;0,1,OFFSET($K107,-MOD(BB107+4,5),0)=0,2,TRUE,0)</f>
        <v>2</v>
      </c>
      <c r="B107" s="532"/>
      <c r="C107" s="473">
        <v>156</v>
      </c>
      <c r="D107" s="474">
        <f ca="1">SUMIFS(Inventarisatie[Oppervlakte],Inventarisatie[Locatie],$BC107,Inventarisatie[Freq. Ma-Vr],$C107,Inventarisatie[Categorie],D$2)</f>
        <v>0</v>
      </c>
      <c r="E107" s="475">
        <f ca="1">SUMIFS(Inventarisatie[Oppervlakte],Inventarisatie[Locatie],$BC107,Inventarisatie[Freq. Ma-Vr],$C107,Inventarisatie[Categorie],E$2)</f>
        <v>0</v>
      </c>
      <c r="F107" s="475">
        <f ca="1">SUMIFS(Inventarisatie[Oppervlakte],Inventarisatie[Locatie],$BC107,Inventarisatie[Freq. Ma-Vr],$C107,Inventarisatie[Categorie],F$2)</f>
        <v>0</v>
      </c>
      <c r="G107" s="475">
        <f ca="1">SUMIFS(Inventarisatie[Oppervlakte],Inventarisatie[Locatie],$BC107,Inventarisatie[Freq. Ma-Vr],$C107,Inventarisatie[Categorie],G$2)</f>
        <v>0</v>
      </c>
      <c r="H107" s="475">
        <f ca="1">SUMIFS(Inventarisatie[Oppervlakte],Inventarisatie[Locatie],$BC107,Inventarisatie[Freq. Ma-Vr],$C107,Inventarisatie[Categorie],H$2)</f>
        <v>0</v>
      </c>
      <c r="I107" s="476">
        <f ca="1">SUMIFS(Inventarisatie[Oppervlakte],Inventarisatie[Locatie],$BC107,Inventarisatie[Freq. Ma-Vr],$C107,Inventarisatie[Categorie],I$2)</f>
        <v>0</v>
      </c>
      <c r="J107" s="476">
        <f ca="1">SUMIFS(Inventarisatie[Oppervlakte],Inventarisatie[Locatie],$BC107,Inventarisatie[Freq. Ma-Vr],$C107,Inventarisatie[Categorie],J$2)</f>
        <v>0</v>
      </c>
      <c r="K107" s="534"/>
      <c r="L107" s="316" t="b">
        <f>IF(_xlfn.XLOOKUP(BC107,Tabel2[Locatiecode],Tabel2[Type locatie],"",0)="vaccin",TRUE,FALSE)</f>
        <v>0</v>
      </c>
      <c r="BB107" s="9">
        <v>105</v>
      </c>
      <c r="BC107" s="9" t="str">
        <v>HKS-ODN</v>
      </c>
      <c r="BD107" s="9" t="str">
        <f t="shared" ca="1" si="1"/>
        <v/>
      </c>
    </row>
    <row r="108" spans="1:56" ht="0.2" customHeight="1" x14ac:dyDescent="0.2">
      <c r="A108" s="172" cm="1">
        <f t="array" aca="1" ref="A108" ca="1">_xlfn.IFS(SUM(D108:J108)&gt;0,1,OFFSET($K108,-MOD(BB108+4,5),0)=0,2,TRUE,0)</f>
        <v>2</v>
      </c>
      <c r="B108" s="532"/>
      <c r="C108" s="473">
        <v>104</v>
      </c>
      <c r="D108" s="474">
        <f ca="1">SUMIFS(Inventarisatie[Oppervlakte],Inventarisatie[Locatie],$BC108,Inventarisatie[Freq. Ma-Vr],$C108,Inventarisatie[Categorie],D$2)</f>
        <v>0</v>
      </c>
      <c r="E108" s="475">
        <f ca="1">SUMIFS(Inventarisatie[Oppervlakte],Inventarisatie[Locatie],$BC108,Inventarisatie[Freq. Ma-Vr],$C108,Inventarisatie[Categorie],E$2)</f>
        <v>0</v>
      </c>
      <c r="F108" s="475">
        <f ca="1">SUMIFS(Inventarisatie[Oppervlakte],Inventarisatie[Locatie],$BC108,Inventarisatie[Freq. Ma-Vr],$C108,Inventarisatie[Categorie],F$2)</f>
        <v>0</v>
      </c>
      <c r="G108" s="475">
        <f ca="1">SUMIFS(Inventarisatie[Oppervlakte],Inventarisatie[Locatie],$BC108,Inventarisatie[Freq. Ma-Vr],$C108,Inventarisatie[Categorie],G$2)</f>
        <v>0</v>
      </c>
      <c r="H108" s="475">
        <f ca="1">SUMIFS(Inventarisatie[Oppervlakte],Inventarisatie[Locatie],$BC108,Inventarisatie[Freq. Ma-Vr],$C108,Inventarisatie[Categorie],H$2)</f>
        <v>0</v>
      </c>
      <c r="I108" s="476">
        <f ca="1">SUMIFS(Inventarisatie[Oppervlakte],Inventarisatie[Locatie],$BC108,Inventarisatie[Freq. Ma-Vr],$C108,Inventarisatie[Categorie],I$2)</f>
        <v>0</v>
      </c>
      <c r="J108" s="476">
        <f ca="1">SUMIFS(Inventarisatie[Oppervlakte],Inventarisatie[Locatie],$BC108,Inventarisatie[Freq. Ma-Vr],$C108,Inventarisatie[Categorie],J$2)</f>
        <v>0</v>
      </c>
      <c r="K108" s="534"/>
      <c r="L108" s="316" t="b">
        <f>IF(_xlfn.XLOOKUP(BC108,Tabel2[Locatiecode],Tabel2[Type locatie],"",0)="vaccin",TRUE,FALSE)</f>
        <v>0</v>
      </c>
      <c r="BB108" s="9">
        <v>106</v>
      </c>
      <c r="BC108" s="9" t="str">
        <v>HKS-ODN</v>
      </c>
      <c r="BD108" s="9" t="str">
        <f t="shared" ca="1" si="1"/>
        <v/>
      </c>
    </row>
    <row r="109" spans="1:56" ht="0.2" customHeight="1" x14ac:dyDescent="0.2">
      <c r="A109" s="172" cm="1">
        <f t="array" aca="1" ref="A109" ca="1">_xlfn.IFS(SUM(D109:J109)&gt;0,1,OFFSET($K109,-MOD(BB109+4,5),0)=0,2,TRUE,0)</f>
        <v>2</v>
      </c>
      <c r="B109" s="532"/>
      <c r="C109" s="473">
        <v>52</v>
      </c>
      <c r="D109" s="474">
        <f ca="1">SUMIFS(Inventarisatie[Oppervlakte],Inventarisatie[Locatie],$BC109,Inventarisatie[Freq. Ma-Vr],$C109,Inventarisatie[Categorie],D$2)</f>
        <v>0</v>
      </c>
      <c r="E109" s="475">
        <f ca="1">SUMIFS(Inventarisatie[Oppervlakte],Inventarisatie[Locatie],$BC109,Inventarisatie[Freq. Ma-Vr],$C109,Inventarisatie[Categorie],E$2)</f>
        <v>0</v>
      </c>
      <c r="F109" s="475">
        <f ca="1">SUMIFS(Inventarisatie[Oppervlakte],Inventarisatie[Locatie],$BC109,Inventarisatie[Freq. Ma-Vr],$C109,Inventarisatie[Categorie],F$2)</f>
        <v>0</v>
      </c>
      <c r="G109" s="475">
        <f ca="1">SUMIFS(Inventarisatie[Oppervlakte],Inventarisatie[Locatie],$BC109,Inventarisatie[Freq. Ma-Vr],$C109,Inventarisatie[Categorie],G$2)</f>
        <v>0</v>
      </c>
      <c r="H109" s="475">
        <f ca="1">SUMIFS(Inventarisatie[Oppervlakte],Inventarisatie[Locatie],$BC109,Inventarisatie[Freq. Ma-Vr],$C109,Inventarisatie[Categorie],H$2)</f>
        <v>0</v>
      </c>
      <c r="I109" s="476">
        <f ca="1">SUMIFS(Inventarisatie[Oppervlakte],Inventarisatie[Locatie],$BC109,Inventarisatie[Freq. Ma-Vr],$C109,Inventarisatie[Categorie],I$2)</f>
        <v>0</v>
      </c>
      <c r="J109" s="476">
        <f ca="1">SUMIFS(Inventarisatie[Oppervlakte],Inventarisatie[Locatie],$BC109,Inventarisatie[Freq. Ma-Vr],$C109,Inventarisatie[Categorie],J$2)</f>
        <v>0</v>
      </c>
      <c r="K109" s="534"/>
      <c r="L109" s="316" t="b">
        <f>IF(_xlfn.XLOOKUP(BC109,Tabel2[Locatiecode],Tabel2[Type locatie],"",0)="vaccin",TRUE,FALSE)</f>
        <v>0</v>
      </c>
      <c r="BB109" s="9">
        <v>107</v>
      </c>
      <c r="BC109" s="9" t="str">
        <v>HKS-ODN</v>
      </c>
      <c r="BD109" s="9" t="str">
        <f t="shared" ca="1" si="1"/>
        <v/>
      </c>
    </row>
    <row r="110" spans="1:56" ht="0.2" customHeight="1" x14ac:dyDescent="0.2">
      <c r="A110" s="172" cm="1">
        <f t="array" aca="1" ref="A110" ca="1">_xlfn.IFS(SUM(D110:J110)&gt;0,1,OFFSET($K110,-MOD(BB110+4,5),0)=0,2,TRUE,0)</f>
        <v>2</v>
      </c>
      <c r="B110" s="532"/>
      <c r="C110" s="473">
        <v>4</v>
      </c>
      <c r="D110" s="474">
        <f ca="1">SUMIFS(Inventarisatie[Oppervlakte],Inventarisatie[Locatie],$BC110,Inventarisatie[Freq. Ma-Vr],$C110,Inventarisatie[Categorie],D$2)</f>
        <v>0</v>
      </c>
      <c r="E110" s="475">
        <f ca="1">SUMIFS(Inventarisatie[Oppervlakte],Inventarisatie[Locatie],$BC110,Inventarisatie[Freq. Ma-Vr],$C110,Inventarisatie[Categorie],E$2)</f>
        <v>0</v>
      </c>
      <c r="F110" s="475">
        <f ca="1">SUMIFS(Inventarisatie[Oppervlakte],Inventarisatie[Locatie],$BC110,Inventarisatie[Freq. Ma-Vr],$C110,Inventarisatie[Categorie],F$2)</f>
        <v>0</v>
      </c>
      <c r="G110" s="475">
        <f ca="1">SUMIFS(Inventarisatie[Oppervlakte],Inventarisatie[Locatie],$BC110,Inventarisatie[Freq. Ma-Vr],$C110,Inventarisatie[Categorie],G$2)</f>
        <v>0</v>
      </c>
      <c r="H110" s="475">
        <f ca="1">SUMIFS(Inventarisatie[Oppervlakte],Inventarisatie[Locatie],$BC110,Inventarisatie[Freq. Ma-Vr],$C110,Inventarisatie[Categorie],H$2)</f>
        <v>0</v>
      </c>
      <c r="I110" s="476">
        <f ca="1">SUMIFS(Inventarisatie[Oppervlakte],Inventarisatie[Locatie],$BC110,Inventarisatie[Freq. Ma-Vr],$C110,Inventarisatie[Categorie],I$2)</f>
        <v>0</v>
      </c>
      <c r="J110" s="476">
        <f ca="1">SUMIFS(Inventarisatie[Oppervlakte],Inventarisatie[Locatie],$BC110,Inventarisatie[Freq. Ma-Vr],$C110,Inventarisatie[Categorie],J$2)</f>
        <v>0</v>
      </c>
      <c r="K110" s="534"/>
      <c r="L110" s="316" t="b">
        <f>IF(_xlfn.XLOOKUP(BC110,Tabel2[Locatiecode],Tabel2[Type locatie],"",0)="vaccin",TRUE,FALSE)</f>
        <v>0</v>
      </c>
      <c r="BB110" s="9">
        <v>108</v>
      </c>
      <c r="BC110" s="9" t="str">
        <v>HKS-ODN</v>
      </c>
      <c r="BD110" s="9" t="str">
        <f t="shared" ca="1" si="1"/>
        <v/>
      </c>
    </row>
    <row r="111" spans="1:56" ht="15" customHeight="1" x14ac:dyDescent="0.2">
      <c r="A111" s="172" cm="1">
        <f t="array" aca="1" ref="A111" ca="1">_xlfn.IFS(SUM(D111:J111)&gt;0,1,OFFSET($K111,-MOD(BB111+4,5),0)=0,2,TRUE,0)</f>
        <v>1</v>
      </c>
      <c r="B111" s="532" t="str">
        <f>BC111</f>
        <v>HLO-HLW</v>
      </c>
      <c r="C111" s="473">
        <v>255</v>
      </c>
      <c r="D111" s="474">
        <f ca="1">SUMIFS(Inventarisatie[Oppervlakte],Inventarisatie[Locatie],$BC111,Inventarisatie[Freq. Ma-Vr],$C111,Inventarisatie[Categorie],D$2)</f>
        <v>53.6</v>
      </c>
      <c r="E111" s="475">
        <f ca="1">SUMIFS(Inventarisatie[Oppervlakte],Inventarisatie[Locatie],$BC111,Inventarisatie[Freq. Ma-Vr],$C111,Inventarisatie[Categorie],E$2)</f>
        <v>18.100000000000001</v>
      </c>
      <c r="F111" s="475">
        <f ca="1">SUMIFS(Inventarisatie[Oppervlakte],Inventarisatie[Locatie],$BC111,Inventarisatie[Freq. Ma-Vr],$C111,Inventarisatie[Categorie],F$2)</f>
        <v>91.699999999999989</v>
      </c>
      <c r="G111" s="475">
        <f ca="1">SUMIFS(Inventarisatie[Oppervlakte],Inventarisatie[Locatie],$BC111,Inventarisatie[Freq. Ma-Vr],$C111,Inventarisatie[Categorie],G$2)</f>
        <v>4.5999999999999996</v>
      </c>
      <c r="H111" s="475">
        <f ca="1">SUMIFS(Inventarisatie[Oppervlakte],Inventarisatie[Locatie],$BC111,Inventarisatie[Freq. Ma-Vr],$C111,Inventarisatie[Categorie],H$2)</f>
        <v>11.1</v>
      </c>
      <c r="I111" s="476">
        <f ca="1">SUMIFS(Inventarisatie[Oppervlakte],Inventarisatie[Locatie],$BC111,Inventarisatie[Freq. Ma-Vr],$C111,Inventarisatie[Categorie],I$2)</f>
        <v>52.1</v>
      </c>
      <c r="J111" s="476">
        <f ca="1">SUMIFS(Inventarisatie[Oppervlakte],Inventarisatie[Locatie],$BC111,Inventarisatie[Freq. Ma-Vr],$C111,Inventarisatie[Categorie],J$2)</f>
        <v>0</v>
      </c>
      <c r="K111" s="533">
        <f ca="1">SUM(D111:J116)</f>
        <v>231.19999999999996</v>
      </c>
      <c r="L111" s="316" t="b">
        <f>IF(_xlfn.XLOOKUP(BC111,Tabel2[Locatiecode],Tabel2[Type locatie],"",0)="vaccin",TRUE,FALSE)</f>
        <v>0</v>
      </c>
      <c r="BB111" s="9">
        <v>109</v>
      </c>
      <c r="BC111" s="9" t="str">
        <v>HLO-HLW</v>
      </c>
      <c r="BD111" s="9">
        <f t="shared" ca="1" si="1"/>
        <v>255</v>
      </c>
    </row>
    <row r="112" spans="1:56" ht="0.2" customHeight="1" x14ac:dyDescent="0.2">
      <c r="A112" s="172" cm="1">
        <f t="array" aca="1" ref="A112" ca="1">_xlfn.IFS(SUM(D112:J112)&gt;0,1,OFFSET($K112,-MOD(BB112+4,5),0)=0,2,TRUE,0)</f>
        <v>2</v>
      </c>
      <c r="B112" s="532"/>
      <c r="C112" s="473">
        <v>204</v>
      </c>
      <c r="D112" s="474">
        <f ca="1">SUMIFS(Inventarisatie[Oppervlakte],Inventarisatie[Locatie],$BC112,Inventarisatie[Freq. Ma-Vr],$C112,Inventarisatie[Categorie],D$2)</f>
        <v>0</v>
      </c>
      <c r="E112" s="475">
        <f ca="1">SUMIFS(Inventarisatie[Oppervlakte],Inventarisatie[Locatie],$BC112,Inventarisatie[Freq. Ma-Vr],$C112,Inventarisatie[Categorie],E$2)</f>
        <v>0</v>
      </c>
      <c r="F112" s="475">
        <f ca="1">SUMIFS(Inventarisatie[Oppervlakte],Inventarisatie[Locatie],$BC112,Inventarisatie[Freq. Ma-Vr],$C112,Inventarisatie[Categorie],F$2)</f>
        <v>0</v>
      </c>
      <c r="G112" s="475">
        <f ca="1">SUMIFS(Inventarisatie[Oppervlakte],Inventarisatie[Locatie],$BC112,Inventarisatie[Freq. Ma-Vr],$C112,Inventarisatie[Categorie],G$2)</f>
        <v>0</v>
      </c>
      <c r="H112" s="475">
        <f ca="1">SUMIFS(Inventarisatie[Oppervlakte],Inventarisatie[Locatie],$BC112,Inventarisatie[Freq. Ma-Vr],$C112,Inventarisatie[Categorie],H$2)</f>
        <v>0</v>
      </c>
      <c r="I112" s="476">
        <f ca="1">SUMIFS(Inventarisatie[Oppervlakte],Inventarisatie[Locatie],$BC112,Inventarisatie[Freq. Ma-Vr],$C112,Inventarisatie[Categorie],I$2)</f>
        <v>0</v>
      </c>
      <c r="J112" s="476">
        <f ca="1">SUMIFS(Inventarisatie[Oppervlakte],Inventarisatie[Locatie],$BC112,Inventarisatie[Freq. Ma-Vr],$C112,Inventarisatie[Categorie],J$2)</f>
        <v>0</v>
      </c>
      <c r="K112" s="533"/>
      <c r="L112" s="316" t="b">
        <f>IF(_xlfn.XLOOKUP(BC112,Tabel2[Locatiecode],Tabel2[Type locatie],"",0)="vaccin",TRUE,FALSE)</f>
        <v>0</v>
      </c>
      <c r="BB112" s="9">
        <v>110</v>
      </c>
      <c r="BC112" s="9" t="str">
        <v>HLO-HLW</v>
      </c>
      <c r="BD112" s="9" t="str">
        <f t="shared" ca="1" si="1"/>
        <v/>
      </c>
    </row>
    <row r="113" spans="1:56" ht="0.2" customHeight="1" x14ac:dyDescent="0.2">
      <c r="A113" s="172" cm="1">
        <f t="array" aca="1" ref="A113" ca="1">_xlfn.IFS(SUM(D113:J113)&gt;0,1,OFFSET($K113,-MOD(BB113+4,5),0)=0,2,TRUE,0)</f>
        <v>2</v>
      </c>
      <c r="B113" s="532"/>
      <c r="C113" s="473">
        <v>156</v>
      </c>
      <c r="D113" s="474">
        <f ca="1">SUMIFS(Inventarisatie[Oppervlakte],Inventarisatie[Locatie],$BC113,Inventarisatie[Freq. Ma-Vr],$C113,Inventarisatie[Categorie],D$2)</f>
        <v>0</v>
      </c>
      <c r="E113" s="475">
        <f ca="1">SUMIFS(Inventarisatie[Oppervlakte],Inventarisatie[Locatie],$BC113,Inventarisatie[Freq. Ma-Vr],$C113,Inventarisatie[Categorie],E$2)</f>
        <v>0</v>
      </c>
      <c r="F113" s="475">
        <f ca="1">SUMIFS(Inventarisatie[Oppervlakte],Inventarisatie[Locatie],$BC113,Inventarisatie[Freq. Ma-Vr],$C113,Inventarisatie[Categorie],F$2)</f>
        <v>0</v>
      </c>
      <c r="G113" s="475">
        <f ca="1">SUMIFS(Inventarisatie[Oppervlakte],Inventarisatie[Locatie],$BC113,Inventarisatie[Freq. Ma-Vr],$C113,Inventarisatie[Categorie],G$2)</f>
        <v>0</v>
      </c>
      <c r="H113" s="475">
        <f ca="1">SUMIFS(Inventarisatie[Oppervlakte],Inventarisatie[Locatie],$BC113,Inventarisatie[Freq. Ma-Vr],$C113,Inventarisatie[Categorie],H$2)</f>
        <v>0</v>
      </c>
      <c r="I113" s="476">
        <f ca="1">SUMIFS(Inventarisatie[Oppervlakte],Inventarisatie[Locatie],$BC113,Inventarisatie[Freq. Ma-Vr],$C113,Inventarisatie[Categorie],I$2)</f>
        <v>0</v>
      </c>
      <c r="J113" s="476">
        <f ca="1">SUMIFS(Inventarisatie[Oppervlakte],Inventarisatie[Locatie],$BC113,Inventarisatie[Freq. Ma-Vr],$C113,Inventarisatie[Categorie],J$2)</f>
        <v>0</v>
      </c>
      <c r="K113" s="534"/>
      <c r="L113" s="316" t="b">
        <f>IF(_xlfn.XLOOKUP(BC113,Tabel2[Locatiecode],Tabel2[Type locatie],"",0)="vaccin",TRUE,FALSE)</f>
        <v>0</v>
      </c>
      <c r="BB113" s="9">
        <v>111</v>
      </c>
      <c r="BC113" s="9" t="str">
        <v>HLO-HLW</v>
      </c>
      <c r="BD113" s="9" t="str">
        <f t="shared" ca="1" si="1"/>
        <v/>
      </c>
    </row>
    <row r="114" spans="1:56" ht="0.2" customHeight="1" x14ac:dyDescent="0.2">
      <c r="A114" s="172" cm="1">
        <f t="array" aca="1" ref="A114" ca="1">_xlfn.IFS(SUM(D114:J114)&gt;0,1,OFFSET($K114,-MOD(BB114+4,5),0)=0,2,TRUE,0)</f>
        <v>2</v>
      </c>
      <c r="B114" s="532"/>
      <c r="C114" s="473">
        <v>104</v>
      </c>
      <c r="D114" s="474">
        <f ca="1">SUMIFS(Inventarisatie[Oppervlakte],Inventarisatie[Locatie],$BC114,Inventarisatie[Freq. Ma-Vr],$C114,Inventarisatie[Categorie],D$2)</f>
        <v>0</v>
      </c>
      <c r="E114" s="475">
        <f ca="1">SUMIFS(Inventarisatie[Oppervlakte],Inventarisatie[Locatie],$BC114,Inventarisatie[Freq. Ma-Vr],$C114,Inventarisatie[Categorie],E$2)</f>
        <v>0</v>
      </c>
      <c r="F114" s="475">
        <f ca="1">SUMIFS(Inventarisatie[Oppervlakte],Inventarisatie[Locatie],$BC114,Inventarisatie[Freq. Ma-Vr],$C114,Inventarisatie[Categorie],F$2)</f>
        <v>0</v>
      </c>
      <c r="G114" s="475">
        <f ca="1">SUMIFS(Inventarisatie[Oppervlakte],Inventarisatie[Locatie],$BC114,Inventarisatie[Freq. Ma-Vr],$C114,Inventarisatie[Categorie],G$2)</f>
        <v>0</v>
      </c>
      <c r="H114" s="475">
        <f ca="1">SUMIFS(Inventarisatie[Oppervlakte],Inventarisatie[Locatie],$BC114,Inventarisatie[Freq. Ma-Vr],$C114,Inventarisatie[Categorie],H$2)</f>
        <v>0</v>
      </c>
      <c r="I114" s="476">
        <f ca="1">SUMIFS(Inventarisatie[Oppervlakte],Inventarisatie[Locatie],$BC114,Inventarisatie[Freq. Ma-Vr],$C114,Inventarisatie[Categorie],I$2)</f>
        <v>0</v>
      </c>
      <c r="J114" s="476">
        <f ca="1">SUMIFS(Inventarisatie[Oppervlakte],Inventarisatie[Locatie],$BC114,Inventarisatie[Freq. Ma-Vr],$C114,Inventarisatie[Categorie],J$2)</f>
        <v>0</v>
      </c>
      <c r="K114" s="534"/>
      <c r="L114" s="316" t="b">
        <f>IF(_xlfn.XLOOKUP(BC114,Tabel2[Locatiecode],Tabel2[Type locatie],"",0)="vaccin",TRUE,FALSE)</f>
        <v>0</v>
      </c>
      <c r="BB114" s="9">
        <v>112</v>
      </c>
      <c r="BC114" s="9" t="str">
        <v>HLO-HLW</v>
      </c>
      <c r="BD114" s="9" t="str">
        <f t="shared" ca="1" si="1"/>
        <v/>
      </c>
    </row>
    <row r="115" spans="1:56" ht="0.2" customHeight="1" x14ac:dyDescent="0.2">
      <c r="A115" s="172" cm="1">
        <f t="array" aca="1" ref="A115" ca="1">_xlfn.IFS(SUM(D115:J115)&gt;0,1,OFFSET($K115,-MOD(BB115+4,5),0)=0,2,TRUE,0)</f>
        <v>2</v>
      </c>
      <c r="B115" s="532"/>
      <c r="C115" s="473">
        <v>52</v>
      </c>
      <c r="D115" s="474">
        <f ca="1">SUMIFS(Inventarisatie[Oppervlakte],Inventarisatie[Locatie],$BC115,Inventarisatie[Freq. Ma-Vr],$C115,Inventarisatie[Categorie],D$2)</f>
        <v>0</v>
      </c>
      <c r="E115" s="475">
        <f ca="1">SUMIFS(Inventarisatie[Oppervlakte],Inventarisatie[Locatie],$BC115,Inventarisatie[Freq. Ma-Vr],$C115,Inventarisatie[Categorie],E$2)</f>
        <v>0</v>
      </c>
      <c r="F115" s="475">
        <f ca="1">SUMIFS(Inventarisatie[Oppervlakte],Inventarisatie[Locatie],$BC115,Inventarisatie[Freq. Ma-Vr],$C115,Inventarisatie[Categorie],F$2)</f>
        <v>0</v>
      </c>
      <c r="G115" s="475">
        <f ca="1">SUMIFS(Inventarisatie[Oppervlakte],Inventarisatie[Locatie],$BC115,Inventarisatie[Freq. Ma-Vr],$C115,Inventarisatie[Categorie],G$2)</f>
        <v>0</v>
      </c>
      <c r="H115" s="475">
        <f ca="1">SUMIFS(Inventarisatie[Oppervlakte],Inventarisatie[Locatie],$BC115,Inventarisatie[Freq. Ma-Vr],$C115,Inventarisatie[Categorie],H$2)</f>
        <v>0</v>
      </c>
      <c r="I115" s="476">
        <f ca="1">SUMIFS(Inventarisatie[Oppervlakte],Inventarisatie[Locatie],$BC115,Inventarisatie[Freq. Ma-Vr],$C115,Inventarisatie[Categorie],I$2)</f>
        <v>0</v>
      </c>
      <c r="J115" s="476">
        <f ca="1">SUMIFS(Inventarisatie[Oppervlakte],Inventarisatie[Locatie],$BC115,Inventarisatie[Freq. Ma-Vr],$C115,Inventarisatie[Categorie],J$2)</f>
        <v>0</v>
      </c>
      <c r="K115" s="534"/>
      <c r="L115" s="316" t="b">
        <f>IF(_xlfn.XLOOKUP(BC115,Tabel2[Locatiecode],Tabel2[Type locatie],"",0)="vaccin",TRUE,FALSE)</f>
        <v>0</v>
      </c>
      <c r="BB115" s="9">
        <v>113</v>
      </c>
      <c r="BC115" s="9" t="str">
        <v>HLO-HLW</v>
      </c>
      <c r="BD115" s="9" t="str">
        <f t="shared" ca="1" si="1"/>
        <v/>
      </c>
    </row>
    <row r="116" spans="1:56" ht="0.2" customHeight="1" x14ac:dyDescent="0.2">
      <c r="A116" s="172" cm="1">
        <f t="array" aca="1" ref="A116" ca="1">_xlfn.IFS(SUM(D116:J116)&gt;0,1,OFFSET($K116,-MOD(BB116+4,5),0)=0,2,TRUE,0)</f>
        <v>2</v>
      </c>
      <c r="B116" s="532"/>
      <c r="C116" s="473">
        <v>4</v>
      </c>
      <c r="D116" s="474">
        <f ca="1">SUMIFS(Inventarisatie[Oppervlakte],Inventarisatie[Locatie],$BC116,Inventarisatie[Freq. Ma-Vr],$C116,Inventarisatie[Categorie],D$2)</f>
        <v>0</v>
      </c>
      <c r="E116" s="475">
        <f ca="1">SUMIFS(Inventarisatie[Oppervlakte],Inventarisatie[Locatie],$BC116,Inventarisatie[Freq. Ma-Vr],$C116,Inventarisatie[Categorie],E$2)</f>
        <v>0</v>
      </c>
      <c r="F116" s="475">
        <f ca="1">SUMIFS(Inventarisatie[Oppervlakte],Inventarisatie[Locatie],$BC116,Inventarisatie[Freq. Ma-Vr],$C116,Inventarisatie[Categorie],F$2)</f>
        <v>0</v>
      </c>
      <c r="G116" s="475">
        <f ca="1">SUMIFS(Inventarisatie[Oppervlakte],Inventarisatie[Locatie],$BC116,Inventarisatie[Freq. Ma-Vr],$C116,Inventarisatie[Categorie],G$2)</f>
        <v>0</v>
      </c>
      <c r="H116" s="475">
        <f ca="1">SUMIFS(Inventarisatie[Oppervlakte],Inventarisatie[Locatie],$BC116,Inventarisatie[Freq. Ma-Vr],$C116,Inventarisatie[Categorie],H$2)</f>
        <v>0</v>
      </c>
      <c r="I116" s="476">
        <f ca="1">SUMIFS(Inventarisatie[Oppervlakte],Inventarisatie[Locatie],$BC116,Inventarisatie[Freq. Ma-Vr],$C116,Inventarisatie[Categorie],I$2)</f>
        <v>0</v>
      </c>
      <c r="J116" s="476">
        <f ca="1">SUMIFS(Inventarisatie[Oppervlakte],Inventarisatie[Locatie],$BC116,Inventarisatie[Freq. Ma-Vr],$C116,Inventarisatie[Categorie],J$2)</f>
        <v>0</v>
      </c>
      <c r="K116" s="534"/>
      <c r="L116" s="316" t="b">
        <f>IF(_xlfn.XLOOKUP(BC116,Tabel2[Locatiecode],Tabel2[Type locatie],"",0)="vaccin",TRUE,FALSE)</f>
        <v>0</v>
      </c>
      <c r="BB116" s="9">
        <v>114</v>
      </c>
      <c r="BC116" s="9" t="str">
        <v>HLO-HLW</v>
      </c>
      <c r="BD116" s="9" t="str">
        <f t="shared" ca="1" si="1"/>
        <v/>
      </c>
    </row>
    <row r="117" spans="1:56" ht="15" customHeight="1" x14ac:dyDescent="0.2">
      <c r="A117" s="172" cm="1">
        <f t="array" aca="1" ref="A117" ca="1">_xlfn.IFS(SUM(D117:J117)&gt;0,1,OFFSET($K117,-MOD(BB117+4,5),0)=0,2,TRUE,0)</f>
        <v>1</v>
      </c>
      <c r="B117" s="532" t="str">
        <f>BC117</f>
        <v>HRN-MSS</v>
      </c>
      <c r="C117" s="473">
        <v>255</v>
      </c>
      <c r="D117" s="474">
        <f ca="1">SUMIFS(Inventarisatie[Oppervlakte],Inventarisatie[Locatie],$BC117,Inventarisatie[Freq. Ma-Vr],$C117,Inventarisatie[Categorie],D$2)</f>
        <v>46</v>
      </c>
      <c r="E117" s="475">
        <f ca="1">SUMIFS(Inventarisatie[Oppervlakte],Inventarisatie[Locatie],$BC117,Inventarisatie[Freq. Ma-Vr],$C117,Inventarisatie[Categorie],E$2)</f>
        <v>515.9</v>
      </c>
      <c r="F117" s="475">
        <f ca="1">SUMIFS(Inventarisatie[Oppervlakte],Inventarisatie[Locatie],$BC117,Inventarisatie[Freq. Ma-Vr],$C117,Inventarisatie[Categorie],F$2)</f>
        <v>164.2</v>
      </c>
      <c r="G117" s="475">
        <f ca="1">SUMIFS(Inventarisatie[Oppervlakte],Inventarisatie[Locatie],$BC117,Inventarisatie[Freq. Ma-Vr],$C117,Inventarisatie[Categorie],G$2)</f>
        <v>0</v>
      </c>
      <c r="H117" s="475">
        <f ca="1">SUMIFS(Inventarisatie[Oppervlakte],Inventarisatie[Locatie],$BC117,Inventarisatie[Freq. Ma-Vr],$C117,Inventarisatie[Categorie],H$2)</f>
        <v>16.7</v>
      </c>
      <c r="I117" s="476">
        <f ca="1">SUMIFS(Inventarisatie[Oppervlakte],Inventarisatie[Locatie],$BC117,Inventarisatie[Freq. Ma-Vr],$C117,Inventarisatie[Categorie],I$2)</f>
        <v>306.8</v>
      </c>
      <c r="J117" s="476">
        <f ca="1">SUMIFS(Inventarisatie[Oppervlakte],Inventarisatie[Locatie],$BC117,Inventarisatie[Freq. Ma-Vr],$C117,Inventarisatie[Categorie],J$2)</f>
        <v>0</v>
      </c>
      <c r="K117" s="533">
        <f ca="1">SUM(D117:J122)</f>
        <v>1049.5999999999999</v>
      </c>
      <c r="L117" s="316" t="b">
        <f>IF(_xlfn.XLOOKUP(BC117,Tabel2[Locatiecode],Tabel2[Type locatie],"",0)="vaccin",TRUE,FALSE)</f>
        <v>0</v>
      </c>
      <c r="BB117" s="9">
        <v>115</v>
      </c>
      <c r="BC117" s="9" t="str">
        <v>HRN-MSS</v>
      </c>
      <c r="BD117" s="9">
        <f t="shared" ca="1" si="1"/>
        <v>255</v>
      </c>
    </row>
    <row r="118" spans="1:56" ht="0.2" customHeight="1" x14ac:dyDescent="0.2">
      <c r="A118" s="172" cm="1">
        <f t="array" aca="1" ref="A118" ca="1">_xlfn.IFS(SUM(D118:J118)&gt;0,1,OFFSET($K118,-MOD(BB118+4,5),0)=0,2,TRUE,0)</f>
        <v>2</v>
      </c>
      <c r="B118" s="532"/>
      <c r="C118" s="473">
        <v>204</v>
      </c>
      <c r="D118" s="474">
        <f ca="1">SUMIFS(Inventarisatie[Oppervlakte],Inventarisatie[Locatie],$BC118,Inventarisatie[Freq. Ma-Vr],$C118,Inventarisatie[Categorie],D$2)</f>
        <v>0</v>
      </c>
      <c r="E118" s="475">
        <f ca="1">SUMIFS(Inventarisatie[Oppervlakte],Inventarisatie[Locatie],$BC118,Inventarisatie[Freq. Ma-Vr],$C118,Inventarisatie[Categorie],E$2)</f>
        <v>0</v>
      </c>
      <c r="F118" s="475">
        <f ca="1">SUMIFS(Inventarisatie[Oppervlakte],Inventarisatie[Locatie],$BC118,Inventarisatie[Freq. Ma-Vr],$C118,Inventarisatie[Categorie],F$2)</f>
        <v>0</v>
      </c>
      <c r="G118" s="475">
        <f ca="1">SUMIFS(Inventarisatie[Oppervlakte],Inventarisatie[Locatie],$BC118,Inventarisatie[Freq. Ma-Vr],$C118,Inventarisatie[Categorie],G$2)</f>
        <v>0</v>
      </c>
      <c r="H118" s="475">
        <f ca="1">SUMIFS(Inventarisatie[Oppervlakte],Inventarisatie[Locatie],$BC118,Inventarisatie[Freq. Ma-Vr],$C118,Inventarisatie[Categorie],H$2)</f>
        <v>0</v>
      </c>
      <c r="I118" s="476">
        <f ca="1">SUMIFS(Inventarisatie[Oppervlakte],Inventarisatie[Locatie],$BC118,Inventarisatie[Freq. Ma-Vr],$C118,Inventarisatie[Categorie],I$2)</f>
        <v>0</v>
      </c>
      <c r="J118" s="476">
        <f ca="1">SUMIFS(Inventarisatie[Oppervlakte],Inventarisatie[Locatie],$BC118,Inventarisatie[Freq. Ma-Vr],$C118,Inventarisatie[Categorie],J$2)</f>
        <v>0</v>
      </c>
      <c r="K118" s="533"/>
      <c r="L118" s="316" t="b">
        <f>IF(_xlfn.XLOOKUP(BC118,Tabel2[Locatiecode],Tabel2[Type locatie],"",0)="vaccin",TRUE,FALSE)</f>
        <v>0</v>
      </c>
      <c r="BB118" s="9">
        <v>116</v>
      </c>
      <c r="BC118" s="9" t="str">
        <v>HRN-MSS</v>
      </c>
      <c r="BD118" s="9" t="str">
        <f t="shared" ca="1" si="1"/>
        <v/>
      </c>
    </row>
    <row r="119" spans="1:56" ht="0.2" customHeight="1" x14ac:dyDescent="0.2">
      <c r="A119" s="172" cm="1">
        <f t="array" aca="1" ref="A119" ca="1">_xlfn.IFS(SUM(D119:J119)&gt;0,1,OFFSET($K119,-MOD(BB119+4,5),0)=0,2,TRUE,0)</f>
        <v>2</v>
      </c>
      <c r="B119" s="532"/>
      <c r="C119" s="473">
        <v>156</v>
      </c>
      <c r="D119" s="474">
        <f ca="1">SUMIFS(Inventarisatie[Oppervlakte],Inventarisatie[Locatie],$BC119,Inventarisatie[Freq. Ma-Vr],$C119,Inventarisatie[Categorie],D$2)</f>
        <v>0</v>
      </c>
      <c r="E119" s="475">
        <f ca="1">SUMIFS(Inventarisatie[Oppervlakte],Inventarisatie[Locatie],$BC119,Inventarisatie[Freq. Ma-Vr],$C119,Inventarisatie[Categorie],E$2)</f>
        <v>0</v>
      </c>
      <c r="F119" s="475">
        <f ca="1">SUMIFS(Inventarisatie[Oppervlakte],Inventarisatie[Locatie],$BC119,Inventarisatie[Freq. Ma-Vr],$C119,Inventarisatie[Categorie],F$2)</f>
        <v>0</v>
      </c>
      <c r="G119" s="475">
        <f ca="1">SUMIFS(Inventarisatie[Oppervlakte],Inventarisatie[Locatie],$BC119,Inventarisatie[Freq. Ma-Vr],$C119,Inventarisatie[Categorie],G$2)</f>
        <v>0</v>
      </c>
      <c r="H119" s="475">
        <f ca="1">SUMIFS(Inventarisatie[Oppervlakte],Inventarisatie[Locatie],$BC119,Inventarisatie[Freq. Ma-Vr],$C119,Inventarisatie[Categorie],H$2)</f>
        <v>0</v>
      </c>
      <c r="I119" s="476">
        <f ca="1">SUMIFS(Inventarisatie[Oppervlakte],Inventarisatie[Locatie],$BC119,Inventarisatie[Freq. Ma-Vr],$C119,Inventarisatie[Categorie],I$2)</f>
        <v>0</v>
      </c>
      <c r="J119" s="476">
        <f ca="1">SUMIFS(Inventarisatie[Oppervlakte],Inventarisatie[Locatie],$BC119,Inventarisatie[Freq. Ma-Vr],$C119,Inventarisatie[Categorie],J$2)</f>
        <v>0</v>
      </c>
      <c r="K119" s="534"/>
      <c r="L119" s="316" t="b">
        <f>IF(_xlfn.XLOOKUP(BC119,Tabel2[Locatiecode],Tabel2[Type locatie],"",0)="vaccin",TRUE,FALSE)</f>
        <v>0</v>
      </c>
      <c r="BB119" s="9">
        <v>117</v>
      </c>
      <c r="BC119" s="9" t="str">
        <v>HRN-MSS</v>
      </c>
      <c r="BD119" s="9" t="str">
        <f t="shared" ca="1" si="1"/>
        <v/>
      </c>
    </row>
    <row r="120" spans="1:56" ht="0.2" customHeight="1" x14ac:dyDescent="0.2">
      <c r="A120" s="172" cm="1">
        <f t="array" aca="1" ref="A120" ca="1">_xlfn.IFS(SUM(D120:J120)&gt;0,1,OFFSET($K120,-MOD(BB120+4,5),0)=0,2,TRUE,0)</f>
        <v>2</v>
      </c>
      <c r="B120" s="532"/>
      <c r="C120" s="473">
        <v>104</v>
      </c>
      <c r="D120" s="474">
        <f ca="1">SUMIFS(Inventarisatie[Oppervlakte],Inventarisatie[Locatie],$BC120,Inventarisatie[Freq. Ma-Vr],$C120,Inventarisatie[Categorie],D$2)</f>
        <v>0</v>
      </c>
      <c r="E120" s="475">
        <f ca="1">SUMIFS(Inventarisatie[Oppervlakte],Inventarisatie[Locatie],$BC120,Inventarisatie[Freq. Ma-Vr],$C120,Inventarisatie[Categorie],E$2)</f>
        <v>0</v>
      </c>
      <c r="F120" s="475">
        <f ca="1">SUMIFS(Inventarisatie[Oppervlakte],Inventarisatie[Locatie],$BC120,Inventarisatie[Freq. Ma-Vr],$C120,Inventarisatie[Categorie],F$2)</f>
        <v>0</v>
      </c>
      <c r="G120" s="475">
        <f ca="1">SUMIFS(Inventarisatie[Oppervlakte],Inventarisatie[Locatie],$BC120,Inventarisatie[Freq. Ma-Vr],$C120,Inventarisatie[Categorie],G$2)</f>
        <v>0</v>
      </c>
      <c r="H120" s="475">
        <f ca="1">SUMIFS(Inventarisatie[Oppervlakte],Inventarisatie[Locatie],$BC120,Inventarisatie[Freq. Ma-Vr],$C120,Inventarisatie[Categorie],H$2)</f>
        <v>0</v>
      </c>
      <c r="I120" s="476">
        <f ca="1">SUMIFS(Inventarisatie[Oppervlakte],Inventarisatie[Locatie],$BC120,Inventarisatie[Freq. Ma-Vr],$C120,Inventarisatie[Categorie],I$2)</f>
        <v>0</v>
      </c>
      <c r="J120" s="476">
        <f ca="1">SUMIFS(Inventarisatie[Oppervlakte],Inventarisatie[Locatie],$BC120,Inventarisatie[Freq. Ma-Vr],$C120,Inventarisatie[Categorie],J$2)</f>
        <v>0</v>
      </c>
      <c r="K120" s="534"/>
      <c r="L120" s="316" t="b">
        <f>IF(_xlfn.XLOOKUP(BC120,Tabel2[Locatiecode],Tabel2[Type locatie],"",0)="vaccin",TRUE,FALSE)</f>
        <v>0</v>
      </c>
      <c r="BB120" s="9">
        <v>118</v>
      </c>
      <c r="BC120" s="9" t="str">
        <v>HRN-MSS</v>
      </c>
      <c r="BD120" s="9" t="str">
        <f t="shared" ca="1" si="1"/>
        <v/>
      </c>
    </row>
    <row r="121" spans="1:56" ht="0.2" customHeight="1" x14ac:dyDescent="0.2">
      <c r="A121" s="172" cm="1">
        <f t="array" aca="1" ref="A121" ca="1">_xlfn.IFS(SUM(D121:J121)&gt;0,1,OFFSET($K121,-MOD(BB121+4,5),0)=0,2,TRUE,0)</f>
        <v>2</v>
      </c>
      <c r="B121" s="532"/>
      <c r="C121" s="473">
        <v>52</v>
      </c>
      <c r="D121" s="474">
        <f ca="1">SUMIFS(Inventarisatie[Oppervlakte],Inventarisatie[Locatie],$BC121,Inventarisatie[Freq. Ma-Vr],$C121,Inventarisatie[Categorie],D$2)</f>
        <v>0</v>
      </c>
      <c r="E121" s="475">
        <f ca="1">SUMIFS(Inventarisatie[Oppervlakte],Inventarisatie[Locatie],$BC121,Inventarisatie[Freq. Ma-Vr],$C121,Inventarisatie[Categorie],E$2)</f>
        <v>0</v>
      </c>
      <c r="F121" s="475">
        <f ca="1">SUMIFS(Inventarisatie[Oppervlakte],Inventarisatie[Locatie],$BC121,Inventarisatie[Freq. Ma-Vr],$C121,Inventarisatie[Categorie],F$2)</f>
        <v>0</v>
      </c>
      <c r="G121" s="475">
        <f ca="1">SUMIFS(Inventarisatie[Oppervlakte],Inventarisatie[Locatie],$BC121,Inventarisatie[Freq. Ma-Vr],$C121,Inventarisatie[Categorie],G$2)</f>
        <v>0</v>
      </c>
      <c r="H121" s="475">
        <f ca="1">SUMIFS(Inventarisatie[Oppervlakte],Inventarisatie[Locatie],$BC121,Inventarisatie[Freq. Ma-Vr],$C121,Inventarisatie[Categorie],H$2)</f>
        <v>0</v>
      </c>
      <c r="I121" s="476">
        <f ca="1">SUMIFS(Inventarisatie[Oppervlakte],Inventarisatie[Locatie],$BC121,Inventarisatie[Freq. Ma-Vr],$C121,Inventarisatie[Categorie],I$2)</f>
        <v>0</v>
      </c>
      <c r="J121" s="476">
        <f ca="1">SUMIFS(Inventarisatie[Oppervlakte],Inventarisatie[Locatie],$BC121,Inventarisatie[Freq. Ma-Vr],$C121,Inventarisatie[Categorie],J$2)</f>
        <v>0</v>
      </c>
      <c r="K121" s="534"/>
      <c r="L121" s="316" t="b">
        <f>IF(_xlfn.XLOOKUP(BC121,Tabel2[Locatiecode],Tabel2[Type locatie],"",0)="vaccin",TRUE,FALSE)</f>
        <v>0</v>
      </c>
      <c r="BB121" s="9">
        <v>119</v>
      </c>
      <c r="BC121" s="9" t="str">
        <v>HRN-MSS</v>
      </c>
      <c r="BD121" s="9" t="str">
        <f t="shared" ca="1" si="1"/>
        <v/>
      </c>
    </row>
    <row r="122" spans="1:56" ht="0.2" customHeight="1" x14ac:dyDescent="0.2">
      <c r="A122" s="172" cm="1">
        <f t="array" aca="1" ref="A122" ca="1">_xlfn.IFS(SUM(D122:J122)&gt;0,1,OFFSET($K122,-MOD(BB122+4,5),0)=0,2,TRUE,0)</f>
        <v>2</v>
      </c>
      <c r="B122" s="532"/>
      <c r="C122" s="473">
        <v>4</v>
      </c>
      <c r="D122" s="474">
        <f ca="1">SUMIFS(Inventarisatie[Oppervlakte],Inventarisatie[Locatie],$BC122,Inventarisatie[Freq. Ma-Vr],$C122,Inventarisatie[Categorie],D$2)</f>
        <v>0</v>
      </c>
      <c r="E122" s="475">
        <f ca="1">SUMIFS(Inventarisatie[Oppervlakte],Inventarisatie[Locatie],$BC122,Inventarisatie[Freq. Ma-Vr],$C122,Inventarisatie[Categorie],E$2)</f>
        <v>0</v>
      </c>
      <c r="F122" s="475">
        <f ca="1">SUMIFS(Inventarisatie[Oppervlakte],Inventarisatie[Locatie],$BC122,Inventarisatie[Freq. Ma-Vr],$C122,Inventarisatie[Categorie],F$2)</f>
        <v>0</v>
      </c>
      <c r="G122" s="475">
        <f ca="1">SUMIFS(Inventarisatie[Oppervlakte],Inventarisatie[Locatie],$BC122,Inventarisatie[Freq. Ma-Vr],$C122,Inventarisatie[Categorie],G$2)</f>
        <v>0</v>
      </c>
      <c r="H122" s="475">
        <f ca="1">SUMIFS(Inventarisatie[Oppervlakte],Inventarisatie[Locatie],$BC122,Inventarisatie[Freq. Ma-Vr],$C122,Inventarisatie[Categorie],H$2)</f>
        <v>0</v>
      </c>
      <c r="I122" s="476">
        <f ca="1">SUMIFS(Inventarisatie[Oppervlakte],Inventarisatie[Locatie],$BC122,Inventarisatie[Freq. Ma-Vr],$C122,Inventarisatie[Categorie],I$2)</f>
        <v>0</v>
      </c>
      <c r="J122" s="476">
        <f ca="1">SUMIFS(Inventarisatie[Oppervlakte],Inventarisatie[Locatie],$BC122,Inventarisatie[Freq. Ma-Vr],$C122,Inventarisatie[Categorie],J$2)</f>
        <v>0</v>
      </c>
      <c r="K122" s="534"/>
      <c r="L122" s="316" t="b">
        <f>IF(_xlfn.XLOOKUP(BC122,Tabel2[Locatiecode],Tabel2[Type locatie],"",0)="vaccin",TRUE,FALSE)</f>
        <v>0</v>
      </c>
      <c r="BB122" s="9">
        <v>120</v>
      </c>
      <c r="BC122" s="9" t="str">
        <v>HRN-MSS</v>
      </c>
      <c r="BD122" s="9" t="str">
        <f t="shared" ca="1" si="1"/>
        <v/>
      </c>
    </row>
    <row r="123" spans="1:56" ht="15" customHeight="1" x14ac:dyDescent="0.2">
      <c r="A123" s="172" cm="1">
        <f t="array" aca="1" ref="A123" ca="1">_xlfn.IFS(SUM(D123:J123)&gt;0,1,OFFSET($K123,-MOD(BB123+4,5),0)=0,2,TRUE,0)</f>
        <v>1</v>
      </c>
      <c r="B123" s="532" t="str">
        <f>BC123</f>
        <v>HVH-TWG</v>
      </c>
      <c r="C123" s="473">
        <v>255</v>
      </c>
      <c r="D123" s="474">
        <f ca="1">SUMIFS(Inventarisatie[Oppervlakte],Inventarisatie[Locatie],$BC123,Inventarisatie[Freq. Ma-Vr],$C123,Inventarisatie[Categorie],D$2)</f>
        <v>0</v>
      </c>
      <c r="E123" s="475">
        <f ca="1">SUMIFS(Inventarisatie[Oppervlakte],Inventarisatie[Locatie],$BC123,Inventarisatie[Freq. Ma-Vr],$C123,Inventarisatie[Categorie],E$2)</f>
        <v>91</v>
      </c>
      <c r="F123" s="475">
        <f ca="1">SUMIFS(Inventarisatie[Oppervlakte],Inventarisatie[Locatie],$BC123,Inventarisatie[Freq. Ma-Vr],$C123,Inventarisatie[Categorie],F$2)</f>
        <v>31</v>
      </c>
      <c r="G123" s="475">
        <f ca="1">SUMIFS(Inventarisatie[Oppervlakte],Inventarisatie[Locatie],$BC123,Inventarisatie[Freq. Ma-Vr],$C123,Inventarisatie[Categorie],G$2)</f>
        <v>0</v>
      </c>
      <c r="H123" s="475">
        <f ca="1">SUMIFS(Inventarisatie[Oppervlakte],Inventarisatie[Locatie],$BC123,Inventarisatie[Freq. Ma-Vr],$C123,Inventarisatie[Categorie],H$2)</f>
        <v>40</v>
      </c>
      <c r="I123" s="476">
        <f ca="1">SUMIFS(Inventarisatie[Oppervlakte],Inventarisatie[Locatie],$BC123,Inventarisatie[Freq. Ma-Vr],$C123,Inventarisatie[Categorie],I$2)</f>
        <v>2126</v>
      </c>
      <c r="J123" s="476">
        <f ca="1">SUMIFS(Inventarisatie[Oppervlakte],Inventarisatie[Locatie],$BC123,Inventarisatie[Freq. Ma-Vr],$C123,Inventarisatie[Categorie],J$2)</f>
        <v>0</v>
      </c>
      <c r="K123" s="533">
        <f ca="1">SUM(D123:J128)</f>
        <v>2288</v>
      </c>
      <c r="L123" s="316" t="b">
        <f>IF(_xlfn.XLOOKUP(BC123,Tabel2[Locatiecode],Tabel2[Type locatie],"",0)="vaccin",TRUE,FALSE)</f>
        <v>1</v>
      </c>
      <c r="BB123" s="9">
        <v>121</v>
      </c>
      <c r="BC123" s="9" t="str">
        <v>HVH-TWG</v>
      </c>
      <c r="BD123" s="9">
        <f t="shared" ca="1" si="1"/>
        <v>255</v>
      </c>
    </row>
    <row r="124" spans="1:56" ht="0.2" customHeight="1" x14ac:dyDescent="0.2">
      <c r="A124" s="172" cm="1">
        <f t="array" aca="1" ref="A124" ca="1">_xlfn.IFS(SUM(D124:J124)&gt;0,1,OFFSET($K124,-MOD(BB124+4,5),0)=0,2,TRUE,0)</f>
        <v>0</v>
      </c>
      <c r="B124" s="532"/>
      <c r="C124" s="473">
        <v>204</v>
      </c>
      <c r="D124" s="474">
        <f ca="1">SUMIFS(Inventarisatie[Oppervlakte],Inventarisatie[Locatie],$BC124,Inventarisatie[Freq. Ma-Vr],$C124,Inventarisatie[Categorie],D$2)</f>
        <v>0</v>
      </c>
      <c r="E124" s="475">
        <f ca="1">SUMIFS(Inventarisatie[Oppervlakte],Inventarisatie[Locatie],$BC124,Inventarisatie[Freq. Ma-Vr],$C124,Inventarisatie[Categorie],E$2)</f>
        <v>0</v>
      </c>
      <c r="F124" s="475">
        <f ca="1">SUMIFS(Inventarisatie[Oppervlakte],Inventarisatie[Locatie],$BC124,Inventarisatie[Freq. Ma-Vr],$C124,Inventarisatie[Categorie],F$2)</f>
        <v>0</v>
      </c>
      <c r="G124" s="475">
        <f ca="1">SUMIFS(Inventarisatie[Oppervlakte],Inventarisatie[Locatie],$BC124,Inventarisatie[Freq. Ma-Vr],$C124,Inventarisatie[Categorie],G$2)</f>
        <v>0</v>
      </c>
      <c r="H124" s="475">
        <f ca="1">SUMIFS(Inventarisatie[Oppervlakte],Inventarisatie[Locatie],$BC124,Inventarisatie[Freq. Ma-Vr],$C124,Inventarisatie[Categorie],H$2)</f>
        <v>0</v>
      </c>
      <c r="I124" s="476">
        <f ca="1">SUMIFS(Inventarisatie[Oppervlakte],Inventarisatie[Locatie],$BC124,Inventarisatie[Freq. Ma-Vr],$C124,Inventarisatie[Categorie],I$2)</f>
        <v>0</v>
      </c>
      <c r="J124" s="476">
        <f ca="1">SUMIFS(Inventarisatie[Oppervlakte],Inventarisatie[Locatie],$BC124,Inventarisatie[Freq. Ma-Vr],$C124,Inventarisatie[Categorie],J$2)</f>
        <v>0</v>
      </c>
      <c r="K124" s="533"/>
      <c r="L124" s="316" t="b">
        <f>IF(_xlfn.XLOOKUP(BC124,Tabel2[Locatiecode],Tabel2[Type locatie],"",0)="vaccin",TRUE,FALSE)</f>
        <v>1</v>
      </c>
      <c r="BB124" s="9">
        <v>122</v>
      </c>
      <c r="BC124" s="9" t="str">
        <v>HVH-TWG</v>
      </c>
      <c r="BD124" s="9" t="str">
        <f t="shared" ca="1" si="1"/>
        <v/>
      </c>
    </row>
    <row r="125" spans="1:56" ht="0.2" customHeight="1" x14ac:dyDescent="0.2">
      <c r="A125" s="172" cm="1">
        <f t="array" aca="1" ref="A125" ca="1">_xlfn.IFS(SUM(D125:J125)&gt;0,1,OFFSET($K125,-MOD(BB125+4,5),0)=0,2,TRUE,0)</f>
        <v>0</v>
      </c>
      <c r="B125" s="532"/>
      <c r="C125" s="473">
        <v>156</v>
      </c>
      <c r="D125" s="474">
        <f ca="1">SUMIFS(Inventarisatie[Oppervlakte],Inventarisatie[Locatie],$BC125,Inventarisatie[Freq. Ma-Vr],$C125,Inventarisatie[Categorie],D$2)</f>
        <v>0</v>
      </c>
      <c r="E125" s="475">
        <f ca="1">SUMIFS(Inventarisatie[Oppervlakte],Inventarisatie[Locatie],$BC125,Inventarisatie[Freq. Ma-Vr],$C125,Inventarisatie[Categorie],E$2)</f>
        <v>0</v>
      </c>
      <c r="F125" s="475">
        <f ca="1">SUMIFS(Inventarisatie[Oppervlakte],Inventarisatie[Locatie],$BC125,Inventarisatie[Freq. Ma-Vr],$C125,Inventarisatie[Categorie],F$2)</f>
        <v>0</v>
      </c>
      <c r="G125" s="475">
        <f ca="1">SUMIFS(Inventarisatie[Oppervlakte],Inventarisatie[Locatie],$BC125,Inventarisatie[Freq. Ma-Vr],$C125,Inventarisatie[Categorie],G$2)</f>
        <v>0</v>
      </c>
      <c r="H125" s="475">
        <f ca="1">SUMIFS(Inventarisatie[Oppervlakte],Inventarisatie[Locatie],$BC125,Inventarisatie[Freq. Ma-Vr],$C125,Inventarisatie[Categorie],H$2)</f>
        <v>0</v>
      </c>
      <c r="I125" s="476">
        <f ca="1">SUMIFS(Inventarisatie[Oppervlakte],Inventarisatie[Locatie],$BC125,Inventarisatie[Freq. Ma-Vr],$C125,Inventarisatie[Categorie],I$2)</f>
        <v>0</v>
      </c>
      <c r="J125" s="476">
        <f ca="1">SUMIFS(Inventarisatie[Oppervlakte],Inventarisatie[Locatie],$BC125,Inventarisatie[Freq. Ma-Vr],$C125,Inventarisatie[Categorie],J$2)</f>
        <v>0</v>
      </c>
      <c r="K125" s="534"/>
      <c r="L125" s="316" t="b">
        <f>IF(_xlfn.XLOOKUP(BC125,Tabel2[Locatiecode],Tabel2[Type locatie],"",0)="vaccin",TRUE,FALSE)</f>
        <v>1</v>
      </c>
      <c r="BB125" s="9">
        <v>123</v>
      </c>
      <c r="BC125" s="9" t="str">
        <v>HVH-TWG</v>
      </c>
      <c r="BD125" s="9" t="str">
        <f t="shared" ca="1" si="1"/>
        <v/>
      </c>
    </row>
    <row r="126" spans="1:56" ht="0.2" customHeight="1" x14ac:dyDescent="0.2">
      <c r="A126" s="172" cm="1">
        <f t="array" aca="1" ref="A126" ca="1">_xlfn.IFS(SUM(D126:J126)&gt;0,1,OFFSET($K126,-MOD(BB126+4,5),0)=0,2,TRUE,0)</f>
        <v>0</v>
      </c>
      <c r="B126" s="532"/>
      <c r="C126" s="473">
        <v>104</v>
      </c>
      <c r="D126" s="474">
        <f ca="1">SUMIFS(Inventarisatie[Oppervlakte],Inventarisatie[Locatie],$BC126,Inventarisatie[Freq. Ma-Vr],$C126,Inventarisatie[Categorie],D$2)</f>
        <v>0</v>
      </c>
      <c r="E126" s="475">
        <f ca="1">SUMIFS(Inventarisatie[Oppervlakte],Inventarisatie[Locatie],$BC126,Inventarisatie[Freq. Ma-Vr],$C126,Inventarisatie[Categorie],E$2)</f>
        <v>0</v>
      </c>
      <c r="F126" s="475">
        <f ca="1">SUMIFS(Inventarisatie[Oppervlakte],Inventarisatie[Locatie],$BC126,Inventarisatie[Freq. Ma-Vr],$C126,Inventarisatie[Categorie],F$2)</f>
        <v>0</v>
      </c>
      <c r="G126" s="475">
        <f ca="1">SUMIFS(Inventarisatie[Oppervlakte],Inventarisatie[Locatie],$BC126,Inventarisatie[Freq. Ma-Vr],$C126,Inventarisatie[Categorie],G$2)</f>
        <v>0</v>
      </c>
      <c r="H126" s="475">
        <f ca="1">SUMIFS(Inventarisatie[Oppervlakte],Inventarisatie[Locatie],$BC126,Inventarisatie[Freq. Ma-Vr],$C126,Inventarisatie[Categorie],H$2)</f>
        <v>0</v>
      </c>
      <c r="I126" s="476">
        <f ca="1">SUMIFS(Inventarisatie[Oppervlakte],Inventarisatie[Locatie],$BC126,Inventarisatie[Freq. Ma-Vr],$C126,Inventarisatie[Categorie],I$2)</f>
        <v>0</v>
      </c>
      <c r="J126" s="476">
        <f ca="1">SUMIFS(Inventarisatie[Oppervlakte],Inventarisatie[Locatie],$BC126,Inventarisatie[Freq. Ma-Vr],$C126,Inventarisatie[Categorie],J$2)</f>
        <v>0</v>
      </c>
      <c r="K126" s="534"/>
      <c r="L126" s="316" t="b">
        <f>IF(_xlfn.XLOOKUP(BC126,Tabel2[Locatiecode],Tabel2[Type locatie],"",0)="vaccin",TRUE,FALSE)</f>
        <v>1</v>
      </c>
      <c r="BB126" s="9">
        <v>124</v>
      </c>
      <c r="BC126" s="9" t="str">
        <v>HVH-TWG</v>
      </c>
      <c r="BD126" s="9" t="str">
        <f t="shared" ca="1" si="1"/>
        <v/>
      </c>
    </row>
    <row r="127" spans="1:56" ht="0.2" customHeight="1" x14ac:dyDescent="0.2">
      <c r="A127" s="172" cm="1">
        <f t="array" aca="1" ref="A127" ca="1">_xlfn.IFS(SUM(D127:J127)&gt;0,1,OFFSET($K127,-MOD(BB127+4,5),0)=0,2,TRUE,0)</f>
        <v>0</v>
      </c>
      <c r="B127" s="532"/>
      <c r="C127" s="473">
        <v>52</v>
      </c>
      <c r="D127" s="474">
        <f ca="1">SUMIFS(Inventarisatie[Oppervlakte],Inventarisatie[Locatie],$BC127,Inventarisatie[Freq. Ma-Vr],$C127,Inventarisatie[Categorie],D$2)</f>
        <v>0</v>
      </c>
      <c r="E127" s="475">
        <f ca="1">SUMIFS(Inventarisatie[Oppervlakte],Inventarisatie[Locatie],$BC127,Inventarisatie[Freq. Ma-Vr],$C127,Inventarisatie[Categorie],E$2)</f>
        <v>0</v>
      </c>
      <c r="F127" s="475">
        <f ca="1">SUMIFS(Inventarisatie[Oppervlakte],Inventarisatie[Locatie],$BC127,Inventarisatie[Freq. Ma-Vr],$C127,Inventarisatie[Categorie],F$2)</f>
        <v>0</v>
      </c>
      <c r="G127" s="475">
        <f ca="1">SUMIFS(Inventarisatie[Oppervlakte],Inventarisatie[Locatie],$BC127,Inventarisatie[Freq. Ma-Vr],$C127,Inventarisatie[Categorie],G$2)</f>
        <v>0</v>
      </c>
      <c r="H127" s="475">
        <f ca="1">SUMIFS(Inventarisatie[Oppervlakte],Inventarisatie[Locatie],$BC127,Inventarisatie[Freq. Ma-Vr],$C127,Inventarisatie[Categorie],H$2)</f>
        <v>0</v>
      </c>
      <c r="I127" s="476">
        <f ca="1">SUMIFS(Inventarisatie[Oppervlakte],Inventarisatie[Locatie],$BC127,Inventarisatie[Freq. Ma-Vr],$C127,Inventarisatie[Categorie],I$2)</f>
        <v>0</v>
      </c>
      <c r="J127" s="476">
        <f ca="1">SUMIFS(Inventarisatie[Oppervlakte],Inventarisatie[Locatie],$BC127,Inventarisatie[Freq. Ma-Vr],$C127,Inventarisatie[Categorie],J$2)</f>
        <v>0</v>
      </c>
      <c r="K127" s="534"/>
      <c r="L127" s="316" t="b">
        <f>IF(_xlfn.XLOOKUP(BC127,Tabel2[Locatiecode],Tabel2[Type locatie],"",0)="vaccin",TRUE,FALSE)</f>
        <v>1</v>
      </c>
      <c r="BB127" s="9">
        <v>125</v>
      </c>
      <c r="BC127" s="9" t="str">
        <v>HVH-TWG</v>
      </c>
      <c r="BD127" s="9" t="str">
        <f t="shared" ca="1" si="1"/>
        <v/>
      </c>
    </row>
    <row r="128" spans="1:56" ht="0.2" customHeight="1" x14ac:dyDescent="0.2">
      <c r="A128" s="172" cm="1">
        <f t="array" aca="1" ref="A128" ca="1">_xlfn.IFS(SUM(D128:J128)&gt;0,1,OFFSET($K128,-MOD(BB128+4,5),0)=0,2,TRUE,0)</f>
        <v>2</v>
      </c>
      <c r="B128" s="532"/>
      <c r="C128" s="473">
        <v>4</v>
      </c>
      <c r="D128" s="474">
        <f ca="1">SUMIFS(Inventarisatie[Oppervlakte],Inventarisatie[Locatie],$BC128,Inventarisatie[Freq. Ma-Vr],$C128,Inventarisatie[Categorie],D$2)</f>
        <v>0</v>
      </c>
      <c r="E128" s="475">
        <f ca="1">SUMIFS(Inventarisatie[Oppervlakte],Inventarisatie[Locatie],$BC128,Inventarisatie[Freq. Ma-Vr],$C128,Inventarisatie[Categorie],E$2)</f>
        <v>0</v>
      </c>
      <c r="F128" s="475">
        <f ca="1">SUMIFS(Inventarisatie[Oppervlakte],Inventarisatie[Locatie],$BC128,Inventarisatie[Freq. Ma-Vr],$C128,Inventarisatie[Categorie],F$2)</f>
        <v>0</v>
      </c>
      <c r="G128" s="475">
        <f ca="1">SUMIFS(Inventarisatie[Oppervlakte],Inventarisatie[Locatie],$BC128,Inventarisatie[Freq. Ma-Vr],$C128,Inventarisatie[Categorie],G$2)</f>
        <v>0</v>
      </c>
      <c r="H128" s="475">
        <f ca="1">SUMIFS(Inventarisatie[Oppervlakte],Inventarisatie[Locatie],$BC128,Inventarisatie[Freq. Ma-Vr],$C128,Inventarisatie[Categorie],H$2)</f>
        <v>0</v>
      </c>
      <c r="I128" s="476">
        <f ca="1">SUMIFS(Inventarisatie[Oppervlakte],Inventarisatie[Locatie],$BC128,Inventarisatie[Freq. Ma-Vr],$C128,Inventarisatie[Categorie],I$2)</f>
        <v>0</v>
      </c>
      <c r="J128" s="476">
        <f ca="1">SUMIFS(Inventarisatie[Oppervlakte],Inventarisatie[Locatie],$BC128,Inventarisatie[Freq. Ma-Vr],$C128,Inventarisatie[Categorie],J$2)</f>
        <v>0</v>
      </c>
      <c r="K128" s="534"/>
      <c r="L128" s="316" t="b">
        <f>IF(_xlfn.XLOOKUP(BC128,Tabel2[Locatiecode],Tabel2[Type locatie],"",0)="vaccin",TRUE,FALSE)</f>
        <v>1</v>
      </c>
      <c r="BB128" s="9">
        <v>126</v>
      </c>
      <c r="BC128" s="9" t="str">
        <v>HVH-TWG</v>
      </c>
      <c r="BD128" s="9" t="str">
        <f t="shared" ca="1" si="1"/>
        <v/>
      </c>
    </row>
    <row r="129" spans="1:56" ht="15" customHeight="1" x14ac:dyDescent="0.2">
      <c r="A129" s="172" cm="1">
        <f t="array" aca="1" ref="A129" ca="1">_xlfn.IFS(SUM(D129:J129)&gt;0,1,OFFSET($K129,-MOD(BB129+4,5),0)=0,2,TRUE,0)</f>
        <v>1</v>
      </c>
      <c r="B129" s="532" t="str">
        <f>BC129</f>
        <v>JUL-MDZ</v>
      </c>
      <c r="C129" s="473">
        <v>255</v>
      </c>
      <c r="D129" s="474">
        <f ca="1">SUMIFS(Inventarisatie[Oppervlakte],Inventarisatie[Locatie],$BC129,Inventarisatie[Freq. Ma-Vr],$C129,Inventarisatie[Categorie],D$2)</f>
        <v>40.1</v>
      </c>
      <c r="E129" s="475">
        <f ca="1">SUMIFS(Inventarisatie[Oppervlakte],Inventarisatie[Locatie],$BC129,Inventarisatie[Freq. Ma-Vr],$C129,Inventarisatie[Categorie],E$2)</f>
        <v>20.8</v>
      </c>
      <c r="F129" s="475">
        <f ca="1">SUMIFS(Inventarisatie[Oppervlakte],Inventarisatie[Locatie],$BC129,Inventarisatie[Freq. Ma-Vr],$C129,Inventarisatie[Categorie],F$2)</f>
        <v>36</v>
      </c>
      <c r="G129" s="475">
        <f ca="1">SUMIFS(Inventarisatie[Oppervlakte],Inventarisatie[Locatie],$BC129,Inventarisatie[Freq. Ma-Vr],$C129,Inventarisatie[Categorie],G$2)</f>
        <v>4.4000000000000004</v>
      </c>
      <c r="H129" s="475">
        <f ca="1">SUMIFS(Inventarisatie[Oppervlakte],Inventarisatie[Locatie],$BC129,Inventarisatie[Freq. Ma-Vr],$C129,Inventarisatie[Categorie],H$2)</f>
        <v>3.2</v>
      </c>
      <c r="I129" s="476">
        <f ca="1">SUMIFS(Inventarisatie[Oppervlakte],Inventarisatie[Locatie],$BC129,Inventarisatie[Freq. Ma-Vr],$C129,Inventarisatie[Categorie],I$2)</f>
        <v>3.1</v>
      </c>
      <c r="J129" s="476">
        <f ca="1">SUMIFS(Inventarisatie[Oppervlakte],Inventarisatie[Locatie],$BC129,Inventarisatie[Freq. Ma-Vr],$C129,Inventarisatie[Categorie],J$2)</f>
        <v>0</v>
      </c>
      <c r="K129" s="533">
        <f ca="1">SUM(D129:J134)</f>
        <v>107.60000000000001</v>
      </c>
      <c r="L129" s="316" t="b">
        <f>IF(_xlfn.XLOOKUP(BC129,Tabel2[Locatiecode],Tabel2[Type locatie],"",0)="vaccin",TRUE,FALSE)</f>
        <v>0</v>
      </c>
      <c r="BB129" s="9">
        <v>127</v>
      </c>
      <c r="BC129" s="9" t="str">
        <v>JUL-MDZ</v>
      </c>
      <c r="BD129" s="9">
        <f t="shared" ca="1" si="1"/>
        <v>255</v>
      </c>
    </row>
    <row r="130" spans="1:56" ht="0.2" customHeight="1" x14ac:dyDescent="0.2">
      <c r="A130" s="172" cm="1">
        <f t="array" aca="1" ref="A130" ca="1">_xlfn.IFS(SUM(D130:J130)&gt;0,1,OFFSET($K130,-MOD(BB130+4,5),0)=0,2,TRUE,0)</f>
        <v>2</v>
      </c>
      <c r="B130" s="532"/>
      <c r="C130" s="473">
        <v>204</v>
      </c>
      <c r="D130" s="474">
        <f ca="1">SUMIFS(Inventarisatie[Oppervlakte],Inventarisatie[Locatie],$BC130,Inventarisatie[Freq. Ma-Vr],$C130,Inventarisatie[Categorie],D$2)</f>
        <v>0</v>
      </c>
      <c r="E130" s="475">
        <f ca="1">SUMIFS(Inventarisatie[Oppervlakte],Inventarisatie[Locatie],$BC130,Inventarisatie[Freq. Ma-Vr],$C130,Inventarisatie[Categorie],E$2)</f>
        <v>0</v>
      </c>
      <c r="F130" s="475">
        <f ca="1">SUMIFS(Inventarisatie[Oppervlakte],Inventarisatie[Locatie],$BC130,Inventarisatie[Freq. Ma-Vr],$C130,Inventarisatie[Categorie],F$2)</f>
        <v>0</v>
      </c>
      <c r="G130" s="475">
        <f ca="1">SUMIFS(Inventarisatie[Oppervlakte],Inventarisatie[Locatie],$BC130,Inventarisatie[Freq. Ma-Vr],$C130,Inventarisatie[Categorie],G$2)</f>
        <v>0</v>
      </c>
      <c r="H130" s="475">
        <f ca="1">SUMIFS(Inventarisatie[Oppervlakte],Inventarisatie[Locatie],$BC130,Inventarisatie[Freq. Ma-Vr],$C130,Inventarisatie[Categorie],H$2)</f>
        <v>0</v>
      </c>
      <c r="I130" s="476">
        <f ca="1">SUMIFS(Inventarisatie[Oppervlakte],Inventarisatie[Locatie],$BC130,Inventarisatie[Freq. Ma-Vr],$C130,Inventarisatie[Categorie],I$2)</f>
        <v>0</v>
      </c>
      <c r="J130" s="476">
        <f ca="1">SUMIFS(Inventarisatie[Oppervlakte],Inventarisatie[Locatie],$BC130,Inventarisatie[Freq. Ma-Vr],$C130,Inventarisatie[Categorie],J$2)</f>
        <v>0</v>
      </c>
      <c r="K130" s="533"/>
      <c r="L130" s="316" t="b">
        <f>IF(_xlfn.XLOOKUP(BC130,Tabel2[Locatiecode],Tabel2[Type locatie],"",0)="vaccin",TRUE,FALSE)</f>
        <v>0</v>
      </c>
      <c r="BB130" s="9">
        <v>128</v>
      </c>
      <c r="BC130" s="9" t="str">
        <v>JUL-MDZ</v>
      </c>
      <c r="BD130" s="9" t="str">
        <f t="shared" ca="1" si="1"/>
        <v/>
      </c>
    </row>
    <row r="131" spans="1:56" ht="0.2" customHeight="1" x14ac:dyDescent="0.2">
      <c r="A131" s="172" cm="1">
        <f t="array" aca="1" ref="A131" ca="1">_xlfn.IFS(SUM(D131:J131)&gt;0,1,OFFSET($K131,-MOD(BB131+4,5),0)=0,2,TRUE,0)</f>
        <v>2</v>
      </c>
      <c r="B131" s="532"/>
      <c r="C131" s="473">
        <v>156</v>
      </c>
      <c r="D131" s="474">
        <f ca="1">SUMIFS(Inventarisatie[Oppervlakte],Inventarisatie[Locatie],$BC131,Inventarisatie[Freq. Ma-Vr],$C131,Inventarisatie[Categorie],D$2)</f>
        <v>0</v>
      </c>
      <c r="E131" s="475">
        <f ca="1">SUMIFS(Inventarisatie[Oppervlakte],Inventarisatie[Locatie],$BC131,Inventarisatie[Freq. Ma-Vr],$C131,Inventarisatie[Categorie],E$2)</f>
        <v>0</v>
      </c>
      <c r="F131" s="475">
        <f ca="1">SUMIFS(Inventarisatie[Oppervlakte],Inventarisatie[Locatie],$BC131,Inventarisatie[Freq. Ma-Vr],$C131,Inventarisatie[Categorie],F$2)</f>
        <v>0</v>
      </c>
      <c r="G131" s="475">
        <f ca="1">SUMIFS(Inventarisatie[Oppervlakte],Inventarisatie[Locatie],$BC131,Inventarisatie[Freq. Ma-Vr],$C131,Inventarisatie[Categorie],G$2)</f>
        <v>0</v>
      </c>
      <c r="H131" s="475">
        <f ca="1">SUMIFS(Inventarisatie[Oppervlakte],Inventarisatie[Locatie],$BC131,Inventarisatie[Freq. Ma-Vr],$C131,Inventarisatie[Categorie],H$2)</f>
        <v>0</v>
      </c>
      <c r="I131" s="476">
        <f ca="1">SUMIFS(Inventarisatie[Oppervlakte],Inventarisatie[Locatie],$BC131,Inventarisatie[Freq. Ma-Vr],$C131,Inventarisatie[Categorie],I$2)</f>
        <v>0</v>
      </c>
      <c r="J131" s="476">
        <f ca="1">SUMIFS(Inventarisatie[Oppervlakte],Inventarisatie[Locatie],$BC131,Inventarisatie[Freq. Ma-Vr],$C131,Inventarisatie[Categorie],J$2)</f>
        <v>0</v>
      </c>
      <c r="K131" s="534"/>
      <c r="L131" s="316" t="b">
        <f>IF(_xlfn.XLOOKUP(BC131,Tabel2[Locatiecode],Tabel2[Type locatie],"",0)="vaccin",TRUE,FALSE)</f>
        <v>0</v>
      </c>
      <c r="BB131" s="9">
        <v>129</v>
      </c>
      <c r="BC131" s="9" t="str">
        <v>JUL-MDZ</v>
      </c>
      <c r="BD131" s="9" t="str">
        <f t="shared" ca="1" si="1"/>
        <v/>
      </c>
    </row>
    <row r="132" spans="1:56" ht="0.2" customHeight="1" x14ac:dyDescent="0.2">
      <c r="A132" s="172" cm="1">
        <f t="array" aca="1" ref="A132" ca="1">_xlfn.IFS(SUM(D132:J132)&gt;0,1,OFFSET($K132,-MOD(BB132+4,5),0)=0,2,TRUE,0)</f>
        <v>2</v>
      </c>
      <c r="B132" s="532"/>
      <c r="C132" s="473">
        <v>104</v>
      </c>
      <c r="D132" s="474">
        <f ca="1">SUMIFS(Inventarisatie[Oppervlakte],Inventarisatie[Locatie],$BC132,Inventarisatie[Freq. Ma-Vr],$C132,Inventarisatie[Categorie],D$2)</f>
        <v>0</v>
      </c>
      <c r="E132" s="475">
        <f ca="1">SUMIFS(Inventarisatie[Oppervlakte],Inventarisatie[Locatie],$BC132,Inventarisatie[Freq. Ma-Vr],$C132,Inventarisatie[Categorie],E$2)</f>
        <v>0</v>
      </c>
      <c r="F132" s="475">
        <f ca="1">SUMIFS(Inventarisatie[Oppervlakte],Inventarisatie[Locatie],$BC132,Inventarisatie[Freq. Ma-Vr],$C132,Inventarisatie[Categorie],F$2)</f>
        <v>0</v>
      </c>
      <c r="G132" s="475">
        <f ca="1">SUMIFS(Inventarisatie[Oppervlakte],Inventarisatie[Locatie],$BC132,Inventarisatie[Freq. Ma-Vr],$C132,Inventarisatie[Categorie],G$2)</f>
        <v>0</v>
      </c>
      <c r="H132" s="475">
        <f ca="1">SUMIFS(Inventarisatie[Oppervlakte],Inventarisatie[Locatie],$BC132,Inventarisatie[Freq. Ma-Vr],$C132,Inventarisatie[Categorie],H$2)</f>
        <v>0</v>
      </c>
      <c r="I132" s="476">
        <f ca="1">SUMIFS(Inventarisatie[Oppervlakte],Inventarisatie[Locatie],$BC132,Inventarisatie[Freq. Ma-Vr],$C132,Inventarisatie[Categorie],I$2)</f>
        <v>0</v>
      </c>
      <c r="J132" s="476">
        <f ca="1">SUMIFS(Inventarisatie[Oppervlakte],Inventarisatie[Locatie],$BC132,Inventarisatie[Freq. Ma-Vr],$C132,Inventarisatie[Categorie],J$2)</f>
        <v>0</v>
      </c>
      <c r="K132" s="534"/>
      <c r="L132" s="316" t="b">
        <f>IF(_xlfn.XLOOKUP(BC132,Tabel2[Locatiecode],Tabel2[Type locatie],"",0)="vaccin",TRUE,FALSE)</f>
        <v>0</v>
      </c>
      <c r="BB132" s="9">
        <v>130</v>
      </c>
      <c r="BC132" s="9" t="str">
        <v>JUL-MDZ</v>
      </c>
      <c r="BD132" s="9" t="str">
        <f t="shared" ref="BD132:BD195" ca="1" si="2">IF(SUM(D132:J132)&gt;0,C132,"")</f>
        <v/>
      </c>
    </row>
    <row r="133" spans="1:56" ht="0.2" customHeight="1" x14ac:dyDescent="0.2">
      <c r="A133" s="172" cm="1">
        <f t="array" aca="1" ref="A133" ca="1">_xlfn.IFS(SUM(D133:J133)&gt;0,1,OFFSET($K133,-MOD(BB133+4,5),0)=0,2,TRUE,0)</f>
        <v>2</v>
      </c>
      <c r="B133" s="532"/>
      <c r="C133" s="473">
        <v>52</v>
      </c>
      <c r="D133" s="474">
        <f ca="1">SUMIFS(Inventarisatie[Oppervlakte],Inventarisatie[Locatie],$BC133,Inventarisatie[Freq. Ma-Vr],$C133,Inventarisatie[Categorie],D$2)</f>
        <v>0</v>
      </c>
      <c r="E133" s="475">
        <f ca="1">SUMIFS(Inventarisatie[Oppervlakte],Inventarisatie[Locatie],$BC133,Inventarisatie[Freq. Ma-Vr],$C133,Inventarisatie[Categorie],E$2)</f>
        <v>0</v>
      </c>
      <c r="F133" s="475">
        <f ca="1">SUMIFS(Inventarisatie[Oppervlakte],Inventarisatie[Locatie],$BC133,Inventarisatie[Freq. Ma-Vr],$C133,Inventarisatie[Categorie],F$2)</f>
        <v>0</v>
      </c>
      <c r="G133" s="475">
        <f ca="1">SUMIFS(Inventarisatie[Oppervlakte],Inventarisatie[Locatie],$BC133,Inventarisatie[Freq. Ma-Vr],$C133,Inventarisatie[Categorie],G$2)</f>
        <v>0</v>
      </c>
      <c r="H133" s="475">
        <f ca="1">SUMIFS(Inventarisatie[Oppervlakte],Inventarisatie[Locatie],$BC133,Inventarisatie[Freq. Ma-Vr],$C133,Inventarisatie[Categorie],H$2)</f>
        <v>0</v>
      </c>
      <c r="I133" s="476">
        <f ca="1">SUMIFS(Inventarisatie[Oppervlakte],Inventarisatie[Locatie],$BC133,Inventarisatie[Freq. Ma-Vr],$C133,Inventarisatie[Categorie],I$2)</f>
        <v>0</v>
      </c>
      <c r="J133" s="476">
        <f ca="1">SUMIFS(Inventarisatie[Oppervlakte],Inventarisatie[Locatie],$BC133,Inventarisatie[Freq. Ma-Vr],$C133,Inventarisatie[Categorie],J$2)</f>
        <v>0</v>
      </c>
      <c r="K133" s="534"/>
      <c r="L133" s="316" t="b">
        <f>IF(_xlfn.XLOOKUP(BC133,Tabel2[Locatiecode],Tabel2[Type locatie],"",0)="vaccin",TRUE,FALSE)</f>
        <v>0</v>
      </c>
      <c r="BB133" s="9">
        <v>131</v>
      </c>
      <c r="BC133" s="9" t="str">
        <v>JUL-MDZ</v>
      </c>
      <c r="BD133" s="9" t="str">
        <f t="shared" ca="1" si="2"/>
        <v/>
      </c>
    </row>
    <row r="134" spans="1:56" ht="0.2" customHeight="1" x14ac:dyDescent="0.2">
      <c r="A134" s="172" cm="1">
        <f t="array" aca="1" ref="A134" ca="1">_xlfn.IFS(SUM(D134:J134)&gt;0,1,OFFSET($K134,-MOD(BB134+4,5),0)=0,2,TRUE,0)</f>
        <v>2</v>
      </c>
      <c r="B134" s="532"/>
      <c r="C134" s="473">
        <v>4</v>
      </c>
      <c r="D134" s="474">
        <f ca="1">SUMIFS(Inventarisatie[Oppervlakte],Inventarisatie[Locatie],$BC134,Inventarisatie[Freq. Ma-Vr],$C134,Inventarisatie[Categorie],D$2)</f>
        <v>0</v>
      </c>
      <c r="E134" s="475">
        <f ca="1">SUMIFS(Inventarisatie[Oppervlakte],Inventarisatie[Locatie],$BC134,Inventarisatie[Freq. Ma-Vr],$C134,Inventarisatie[Categorie],E$2)</f>
        <v>0</v>
      </c>
      <c r="F134" s="475">
        <f ca="1">SUMIFS(Inventarisatie[Oppervlakte],Inventarisatie[Locatie],$BC134,Inventarisatie[Freq. Ma-Vr],$C134,Inventarisatie[Categorie],F$2)</f>
        <v>0</v>
      </c>
      <c r="G134" s="475">
        <f ca="1">SUMIFS(Inventarisatie[Oppervlakte],Inventarisatie[Locatie],$BC134,Inventarisatie[Freq. Ma-Vr],$C134,Inventarisatie[Categorie],G$2)</f>
        <v>0</v>
      </c>
      <c r="H134" s="475">
        <f ca="1">SUMIFS(Inventarisatie[Oppervlakte],Inventarisatie[Locatie],$BC134,Inventarisatie[Freq. Ma-Vr],$C134,Inventarisatie[Categorie],H$2)</f>
        <v>0</v>
      </c>
      <c r="I134" s="476">
        <f ca="1">SUMIFS(Inventarisatie[Oppervlakte],Inventarisatie[Locatie],$BC134,Inventarisatie[Freq. Ma-Vr],$C134,Inventarisatie[Categorie],I$2)</f>
        <v>0</v>
      </c>
      <c r="J134" s="476">
        <f ca="1">SUMIFS(Inventarisatie[Oppervlakte],Inventarisatie[Locatie],$BC134,Inventarisatie[Freq. Ma-Vr],$C134,Inventarisatie[Categorie],J$2)</f>
        <v>0</v>
      </c>
      <c r="K134" s="534"/>
      <c r="L134" s="316" t="b">
        <f>IF(_xlfn.XLOOKUP(BC134,Tabel2[Locatiecode],Tabel2[Type locatie],"",0)="vaccin",TRUE,FALSE)</f>
        <v>0</v>
      </c>
      <c r="BB134" s="9">
        <v>132</v>
      </c>
      <c r="BC134" s="9" t="str">
        <v>JUL-MDZ</v>
      </c>
      <c r="BD134" s="9" t="str">
        <f t="shared" ca="1" si="2"/>
        <v/>
      </c>
    </row>
    <row r="135" spans="1:56" ht="15" customHeight="1" x14ac:dyDescent="0.2">
      <c r="A135" s="172" cm="1">
        <f t="array" aca="1" ref="A135" ca="1">_xlfn.IFS(SUM(D135:J135)&gt;0,1,OFFSET($K135,-MOD(BB135+4,5),0)=0,2,TRUE,0)</f>
        <v>1</v>
      </c>
      <c r="B135" s="532" t="str">
        <f>BC135</f>
        <v>MDB-SMH</v>
      </c>
      <c r="C135" s="473">
        <v>255</v>
      </c>
      <c r="D135" s="474">
        <f ca="1">SUMIFS(Inventarisatie[Oppervlakte],Inventarisatie[Locatie],$BC135,Inventarisatie[Freq. Ma-Vr],$C135,Inventarisatie[Categorie],D$2)</f>
        <v>72.3</v>
      </c>
      <c r="E135" s="475">
        <f ca="1">SUMIFS(Inventarisatie[Oppervlakte],Inventarisatie[Locatie],$BC135,Inventarisatie[Freq. Ma-Vr],$C135,Inventarisatie[Categorie],E$2)</f>
        <v>62.6</v>
      </c>
      <c r="F135" s="475">
        <f ca="1">SUMIFS(Inventarisatie[Oppervlakte],Inventarisatie[Locatie],$BC135,Inventarisatie[Freq. Ma-Vr],$C135,Inventarisatie[Categorie],F$2)</f>
        <v>45.8</v>
      </c>
      <c r="G135" s="475">
        <f ca="1">SUMIFS(Inventarisatie[Oppervlakte],Inventarisatie[Locatie],$BC135,Inventarisatie[Freq. Ma-Vr],$C135,Inventarisatie[Categorie],G$2)</f>
        <v>19.3</v>
      </c>
      <c r="H135" s="475">
        <f ca="1">SUMIFS(Inventarisatie[Oppervlakte],Inventarisatie[Locatie],$BC135,Inventarisatie[Freq. Ma-Vr],$C135,Inventarisatie[Categorie],H$2)</f>
        <v>5.3</v>
      </c>
      <c r="I135" s="476">
        <f ca="1">SUMIFS(Inventarisatie[Oppervlakte],Inventarisatie[Locatie],$BC135,Inventarisatie[Freq. Ma-Vr],$C135,Inventarisatie[Categorie],I$2)</f>
        <v>39.299999999999997</v>
      </c>
      <c r="J135" s="476">
        <f ca="1">SUMIFS(Inventarisatie[Oppervlakte],Inventarisatie[Locatie],$BC135,Inventarisatie[Freq. Ma-Vr],$C135,Inventarisatie[Categorie],J$2)</f>
        <v>0</v>
      </c>
      <c r="K135" s="533">
        <f ca="1">SUM(D135:J140)</f>
        <v>244.60000000000002</v>
      </c>
      <c r="L135" s="316" t="b">
        <f>IF(_xlfn.XLOOKUP(BC135,Tabel2[Locatiecode],Tabel2[Type locatie],"",0)="vaccin",TRUE,FALSE)</f>
        <v>0</v>
      </c>
      <c r="BB135" s="9">
        <v>133</v>
      </c>
      <c r="BC135" s="9" t="str">
        <v>MDB-SMH</v>
      </c>
      <c r="BD135" s="9">
        <f t="shared" ca="1" si="2"/>
        <v>255</v>
      </c>
    </row>
    <row r="136" spans="1:56" ht="0.2" customHeight="1" x14ac:dyDescent="0.2">
      <c r="A136" s="172" cm="1">
        <f t="array" aca="1" ref="A136" ca="1">_xlfn.IFS(SUM(D136:J136)&gt;0,1,OFFSET($K136,-MOD(BB136+4,5),0)=0,2,TRUE,0)</f>
        <v>2</v>
      </c>
      <c r="B136" s="532"/>
      <c r="C136" s="473">
        <v>204</v>
      </c>
      <c r="D136" s="474">
        <f ca="1">SUMIFS(Inventarisatie[Oppervlakte],Inventarisatie[Locatie],$BC136,Inventarisatie[Freq. Ma-Vr],$C136,Inventarisatie[Categorie],D$2)</f>
        <v>0</v>
      </c>
      <c r="E136" s="475">
        <f ca="1">SUMIFS(Inventarisatie[Oppervlakte],Inventarisatie[Locatie],$BC136,Inventarisatie[Freq. Ma-Vr],$C136,Inventarisatie[Categorie],E$2)</f>
        <v>0</v>
      </c>
      <c r="F136" s="475">
        <f ca="1">SUMIFS(Inventarisatie[Oppervlakte],Inventarisatie[Locatie],$BC136,Inventarisatie[Freq. Ma-Vr],$C136,Inventarisatie[Categorie],F$2)</f>
        <v>0</v>
      </c>
      <c r="G136" s="475">
        <f ca="1">SUMIFS(Inventarisatie[Oppervlakte],Inventarisatie[Locatie],$BC136,Inventarisatie[Freq. Ma-Vr],$C136,Inventarisatie[Categorie],G$2)</f>
        <v>0</v>
      </c>
      <c r="H136" s="475">
        <f ca="1">SUMIFS(Inventarisatie[Oppervlakte],Inventarisatie[Locatie],$BC136,Inventarisatie[Freq. Ma-Vr],$C136,Inventarisatie[Categorie],H$2)</f>
        <v>0</v>
      </c>
      <c r="I136" s="476">
        <f ca="1">SUMIFS(Inventarisatie[Oppervlakte],Inventarisatie[Locatie],$BC136,Inventarisatie[Freq. Ma-Vr],$C136,Inventarisatie[Categorie],I$2)</f>
        <v>0</v>
      </c>
      <c r="J136" s="476">
        <f ca="1">SUMIFS(Inventarisatie[Oppervlakte],Inventarisatie[Locatie],$BC136,Inventarisatie[Freq. Ma-Vr],$C136,Inventarisatie[Categorie],J$2)</f>
        <v>0</v>
      </c>
      <c r="K136" s="533"/>
      <c r="L136" s="316" t="b">
        <f>IF(_xlfn.XLOOKUP(BC136,Tabel2[Locatiecode],Tabel2[Type locatie],"",0)="vaccin",TRUE,FALSE)</f>
        <v>0</v>
      </c>
      <c r="BB136" s="9">
        <v>134</v>
      </c>
      <c r="BC136" s="9" t="str">
        <v>MDB-SMH</v>
      </c>
      <c r="BD136" s="9" t="str">
        <f t="shared" ca="1" si="2"/>
        <v/>
      </c>
    </row>
    <row r="137" spans="1:56" ht="0.2" customHeight="1" x14ac:dyDescent="0.2">
      <c r="A137" s="172" cm="1">
        <f t="array" aca="1" ref="A137" ca="1">_xlfn.IFS(SUM(D137:J137)&gt;0,1,OFFSET($K137,-MOD(BB137+4,5),0)=0,2,TRUE,0)</f>
        <v>2</v>
      </c>
      <c r="B137" s="532"/>
      <c r="C137" s="473">
        <v>156</v>
      </c>
      <c r="D137" s="474">
        <f ca="1">SUMIFS(Inventarisatie[Oppervlakte],Inventarisatie[Locatie],$BC137,Inventarisatie[Freq. Ma-Vr],$C137,Inventarisatie[Categorie],D$2)</f>
        <v>0</v>
      </c>
      <c r="E137" s="475">
        <f ca="1">SUMIFS(Inventarisatie[Oppervlakte],Inventarisatie[Locatie],$BC137,Inventarisatie[Freq. Ma-Vr],$C137,Inventarisatie[Categorie],E$2)</f>
        <v>0</v>
      </c>
      <c r="F137" s="475">
        <f ca="1">SUMIFS(Inventarisatie[Oppervlakte],Inventarisatie[Locatie],$BC137,Inventarisatie[Freq. Ma-Vr],$C137,Inventarisatie[Categorie],F$2)</f>
        <v>0</v>
      </c>
      <c r="G137" s="475">
        <f ca="1">SUMIFS(Inventarisatie[Oppervlakte],Inventarisatie[Locatie],$BC137,Inventarisatie[Freq. Ma-Vr],$C137,Inventarisatie[Categorie],G$2)</f>
        <v>0</v>
      </c>
      <c r="H137" s="475">
        <f ca="1">SUMIFS(Inventarisatie[Oppervlakte],Inventarisatie[Locatie],$BC137,Inventarisatie[Freq. Ma-Vr],$C137,Inventarisatie[Categorie],H$2)</f>
        <v>0</v>
      </c>
      <c r="I137" s="476">
        <f ca="1">SUMIFS(Inventarisatie[Oppervlakte],Inventarisatie[Locatie],$BC137,Inventarisatie[Freq. Ma-Vr],$C137,Inventarisatie[Categorie],I$2)</f>
        <v>0</v>
      </c>
      <c r="J137" s="476">
        <f ca="1">SUMIFS(Inventarisatie[Oppervlakte],Inventarisatie[Locatie],$BC137,Inventarisatie[Freq. Ma-Vr],$C137,Inventarisatie[Categorie],J$2)</f>
        <v>0</v>
      </c>
      <c r="K137" s="534"/>
      <c r="L137" s="316" t="b">
        <f>IF(_xlfn.XLOOKUP(BC137,Tabel2[Locatiecode],Tabel2[Type locatie],"",0)="vaccin",TRUE,FALSE)</f>
        <v>0</v>
      </c>
      <c r="BB137" s="9">
        <v>135</v>
      </c>
      <c r="BC137" s="9" t="str">
        <v>MDB-SMH</v>
      </c>
      <c r="BD137" s="9" t="str">
        <f t="shared" ca="1" si="2"/>
        <v/>
      </c>
    </row>
    <row r="138" spans="1:56" ht="0.2" customHeight="1" x14ac:dyDescent="0.2">
      <c r="A138" s="172" cm="1">
        <f t="array" aca="1" ref="A138" ca="1">_xlfn.IFS(SUM(D138:J138)&gt;0,1,OFFSET($K138,-MOD(BB138+4,5),0)=0,2,TRUE,0)</f>
        <v>2</v>
      </c>
      <c r="B138" s="532"/>
      <c r="C138" s="473">
        <v>104</v>
      </c>
      <c r="D138" s="474">
        <f ca="1">SUMIFS(Inventarisatie[Oppervlakte],Inventarisatie[Locatie],$BC138,Inventarisatie[Freq. Ma-Vr],$C138,Inventarisatie[Categorie],D$2)</f>
        <v>0</v>
      </c>
      <c r="E138" s="475">
        <f ca="1">SUMIFS(Inventarisatie[Oppervlakte],Inventarisatie[Locatie],$BC138,Inventarisatie[Freq. Ma-Vr],$C138,Inventarisatie[Categorie],E$2)</f>
        <v>0</v>
      </c>
      <c r="F138" s="475">
        <f ca="1">SUMIFS(Inventarisatie[Oppervlakte],Inventarisatie[Locatie],$BC138,Inventarisatie[Freq. Ma-Vr],$C138,Inventarisatie[Categorie],F$2)</f>
        <v>0</v>
      </c>
      <c r="G138" s="475">
        <f ca="1">SUMIFS(Inventarisatie[Oppervlakte],Inventarisatie[Locatie],$BC138,Inventarisatie[Freq. Ma-Vr],$C138,Inventarisatie[Categorie],G$2)</f>
        <v>0</v>
      </c>
      <c r="H138" s="475">
        <f ca="1">SUMIFS(Inventarisatie[Oppervlakte],Inventarisatie[Locatie],$BC138,Inventarisatie[Freq. Ma-Vr],$C138,Inventarisatie[Categorie],H$2)</f>
        <v>0</v>
      </c>
      <c r="I138" s="476">
        <f ca="1">SUMIFS(Inventarisatie[Oppervlakte],Inventarisatie[Locatie],$BC138,Inventarisatie[Freq. Ma-Vr],$C138,Inventarisatie[Categorie],I$2)</f>
        <v>0</v>
      </c>
      <c r="J138" s="476">
        <f ca="1">SUMIFS(Inventarisatie[Oppervlakte],Inventarisatie[Locatie],$BC138,Inventarisatie[Freq. Ma-Vr],$C138,Inventarisatie[Categorie],J$2)</f>
        <v>0</v>
      </c>
      <c r="K138" s="534"/>
      <c r="L138" s="316" t="b">
        <f>IF(_xlfn.XLOOKUP(BC138,Tabel2[Locatiecode],Tabel2[Type locatie],"",0)="vaccin",TRUE,FALSE)</f>
        <v>0</v>
      </c>
      <c r="BB138" s="9">
        <v>136</v>
      </c>
      <c r="BC138" s="9" t="str">
        <v>MDB-SMH</v>
      </c>
      <c r="BD138" s="9" t="str">
        <f t="shared" ca="1" si="2"/>
        <v/>
      </c>
    </row>
    <row r="139" spans="1:56" ht="0.2" customHeight="1" x14ac:dyDescent="0.2">
      <c r="A139" s="172" cm="1">
        <f t="array" aca="1" ref="A139" ca="1">_xlfn.IFS(SUM(D139:J139)&gt;0,1,OFFSET($K139,-MOD(BB139+4,5),0)=0,2,TRUE,0)</f>
        <v>2</v>
      </c>
      <c r="B139" s="532"/>
      <c r="C139" s="473">
        <v>52</v>
      </c>
      <c r="D139" s="474">
        <f ca="1">SUMIFS(Inventarisatie[Oppervlakte],Inventarisatie[Locatie],$BC139,Inventarisatie[Freq. Ma-Vr],$C139,Inventarisatie[Categorie],D$2)</f>
        <v>0</v>
      </c>
      <c r="E139" s="475">
        <f ca="1">SUMIFS(Inventarisatie[Oppervlakte],Inventarisatie[Locatie],$BC139,Inventarisatie[Freq. Ma-Vr],$C139,Inventarisatie[Categorie],E$2)</f>
        <v>0</v>
      </c>
      <c r="F139" s="475">
        <f ca="1">SUMIFS(Inventarisatie[Oppervlakte],Inventarisatie[Locatie],$BC139,Inventarisatie[Freq. Ma-Vr],$C139,Inventarisatie[Categorie],F$2)</f>
        <v>0</v>
      </c>
      <c r="G139" s="475">
        <f ca="1">SUMIFS(Inventarisatie[Oppervlakte],Inventarisatie[Locatie],$BC139,Inventarisatie[Freq. Ma-Vr],$C139,Inventarisatie[Categorie],G$2)</f>
        <v>0</v>
      </c>
      <c r="H139" s="475">
        <f ca="1">SUMIFS(Inventarisatie[Oppervlakte],Inventarisatie[Locatie],$BC139,Inventarisatie[Freq. Ma-Vr],$C139,Inventarisatie[Categorie],H$2)</f>
        <v>0</v>
      </c>
      <c r="I139" s="476">
        <f ca="1">SUMIFS(Inventarisatie[Oppervlakte],Inventarisatie[Locatie],$BC139,Inventarisatie[Freq. Ma-Vr],$C139,Inventarisatie[Categorie],I$2)</f>
        <v>0</v>
      </c>
      <c r="J139" s="476">
        <f ca="1">SUMIFS(Inventarisatie[Oppervlakte],Inventarisatie[Locatie],$BC139,Inventarisatie[Freq. Ma-Vr],$C139,Inventarisatie[Categorie],J$2)</f>
        <v>0</v>
      </c>
      <c r="K139" s="534"/>
      <c r="L139" s="316" t="b">
        <f>IF(_xlfn.XLOOKUP(BC139,Tabel2[Locatiecode],Tabel2[Type locatie],"",0)="vaccin",TRUE,FALSE)</f>
        <v>0</v>
      </c>
      <c r="BB139" s="9">
        <v>137</v>
      </c>
      <c r="BC139" s="9" t="str">
        <v>MDB-SMH</v>
      </c>
      <c r="BD139" s="9" t="str">
        <f t="shared" ca="1" si="2"/>
        <v/>
      </c>
    </row>
    <row r="140" spans="1:56" ht="0.2" customHeight="1" x14ac:dyDescent="0.2">
      <c r="A140" s="172" cm="1">
        <f t="array" aca="1" ref="A140" ca="1">_xlfn.IFS(SUM(D140:J140)&gt;0,1,OFFSET($K140,-MOD(BB140+4,5),0)=0,2,TRUE,0)</f>
        <v>2</v>
      </c>
      <c r="B140" s="532"/>
      <c r="C140" s="473">
        <v>4</v>
      </c>
      <c r="D140" s="474">
        <f ca="1">SUMIFS(Inventarisatie[Oppervlakte],Inventarisatie[Locatie],$BC140,Inventarisatie[Freq. Ma-Vr],$C140,Inventarisatie[Categorie],D$2)</f>
        <v>0</v>
      </c>
      <c r="E140" s="475">
        <f ca="1">SUMIFS(Inventarisatie[Oppervlakte],Inventarisatie[Locatie],$BC140,Inventarisatie[Freq. Ma-Vr],$C140,Inventarisatie[Categorie],E$2)</f>
        <v>0</v>
      </c>
      <c r="F140" s="475">
        <f ca="1">SUMIFS(Inventarisatie[Oppervlakte],Inventarisatie[Locatie],$BC140,Inventarisatie[Freq. Ma-Vr],$C140,Inventarisatie[Categorie],F$2)</f>
        <v>0</v>
      </c>
      <c r="G140" s="475">
        <f ca="1">SUMIFS(Inventarisatie[Oppervlakte],Inventarisatie[Locatie],$BC140,Inventarisatie[Freq. Ma-Vr],$C140,Inventarisatie[Categorie],G$2)</f>
        <v>0</v>
      </c>
      <c r="H140" s="475">
        <f ca="1">SUMIFS(Inventarisatie[Oppervlakte],Inventarisatie[Locatie],$BC140,Inventarisatie[Freq. Ma-Vr],$C140,Inventarisatie[Categorie],H$2)</f>
        <v>0</v>
      </c>
      <c r="I140" s="476">
        <f ca="1">SUMIFS(Inventarisatie[Oppervlakte],Inventarisatie[Locatie],$BC140,Inventarisatie[Freq. Ma-Vr],$C140,Inventarisatie[Categorie],I$2)</f>
        <v>0</v>
      </c>
      <c r="J140" s="476">
        <f ca="1">SUMIFS(Inventarisatie[Oppervlakte],Inventarisatie[Locatie],$BC140,Inventarisatie[Freq. Ma-Vr],$C140,Inventarisatie[Categorie],J$2)</f>
        <v>0</v>
      </c>
      <c r="K140" s="534"/>
      <c r="L140" s="316" t="b">
        <f>IF(_xlfn.XLOOKUP(BC140,Tabel2[Locatiecode],Tabel2[Type locatie],"",0)="vaccin",TRUE,FALSE)</f>
        <v>0</v>
      </c>
      <c r="BB140" s="9">
        <v>138</v>
      </c>
      <c r="BC140" s="9" t="str">
        <v>MDB-SMH</v>
      </c>
      <c r="BD140" s="9" t="str">
        <f t="shared" ca="1" si="2"/>
        <v/>
      </c>
    </row>
    <row r="141" spans="1:56" ht="0.2" customHeight="1" x14ac:dyDescent="0.2">
      <c r="A141" s="172" cm="1">
        <f t="array" aca="1" ref="A141" ca="1">_xlfn.IFS(SUM(D141:J141)&gt;0,1,OFFSET($K141,-MOD(BB141+4,5),0)=0,2,TRUE,0)</f>
        <v>2</v>
      </c>
      <c r="B141" s="532" t="str">
        <f>BC141</f>
        <v>MDM-AGP</v>
      </c>
      <c r="C141" s="473">
        <v>255</v>
      </c>
      <c r="D141" s="474">
        <f>SUMIFS(Inventarisatie[Oppervlakte],Inventarisatie[Locatie],$BC141,Inventarisatie[Freq. Ma-Vr],$C141,Inventarisatie[Categorie],D$2)</f>
        <v>0</v>
      </c>
      <c r="E141" s="475">
        <f>SUMIFS(Inventarisatie[Oppervlakte],Inventarisatie[Locatie],$BC141,Inventarisatie[Freq. Ma-Vr],$C141,Inventarisatie[Categorie],E$2)</f>
        <v>0</v>
      </c>
      <c r="F141" s="475">
        <f>SUMIFS(Inventarisatie[Oppervlakte],Inventarisatie[Locatie],$BC141,Inventarisatie[Freq. Ma-Vr],$C141,Inventarisatie[Categorie],F$2)</f>
        <v>0</v>
      </c>
      <c r="G141" s="475">
        <f>SUMIFS(Inventarisatie[Oppervlakte],Inventarisatie[Locatie],$BC141,Inventarisatie[Freq. Ma-Vr],$C141,Inventarisatie[Categorie],G$2)</f>
        <v>0</v>
      </c>
      <c r="H141" s="475">
        <f>SUMIFS(Inventarisatie[Oppervlakte],Inventarisatie[Locatie],$BC141,Inventarisatie[Freq. Ma-Vr],$C141,Inventarisatie[Categorie],H$2)</f>
        <v>0</v>
      </c>
      <c r="I141" s="476">
        <f>SUMIFS(Inventarisatie[Oppervlakte],Inventarisatie[Locatie],$BC141,Inventarisatie[Freq. Ma-Vr],$C141,Inventarisatie[Categorie],I$2)</f>
        <v>0</v>
      </c>
      <c r="J141" s="476">
        <f>SUMIFS(Inventarisatie[Oppervlakte],Inventarisatie[Locatie],$BC141,Inventarisatie[Freq. Ma-Vr],$C141,Inventarisatie[Categorie],J$2)</f>
        <v>0</v>
      </c>
      <c r="K141" s="533">
        <f>SUM(D141:J146)</f>
        <v>0</v>
      </c>
      <c r="L141" s="316" t="b">
        <f>IF(_xlfn.XLOOKUP(BC141,Tabel2[Locatiecode],Tabel2[Type locatie],"",0)="vaccin",TRUE,FALSE)</f>
        <v>1</v>
      </c>
      <c r="BB141" s="9">
        <v>139</v>
      </c>
      <c r="BC141" s="9" t="str">
        <v>MDM-AGP</v>
      </c>
      <c r="BD141" s="9" t="str">
        <f t="shared" si="2"/>
        <v/>
      </c>
    </row>
    <row r="142" spans="1:56" ht="0.2" customHeight="1" x14ac:dyDescent="0.2">
      <c r="A142" s="172" cm="1">
        <f t="array" aca="1" ref="A142" ca="1">_xlfn.IFS(SUM(D142:J142)&gt;0,1,OFFSET($K142,-MOD(BB142+4,5),0)=0,2,TRUE,0)</f>
        <v>2</v>
      </c>
      <c r="B142" s="532"/>
      <c r="C142" s="473">
        <v>204</v>
      </c>
      <c r="D142" s="474">
        <f>SUMIFS(Inventarisatie[Oppervlakte],Inventarisatie[Locatie],$BC142,Inventarisatie[Freq. Ma-Vr],$C142,Inventarisatie[Categorie],D$2)</f>
        <v>0</v>
      </c>
      <c r="E142" s="475">
        <f>SUMIFS(Inventarisatie[Oppervlakte],Inventarisatie[Locatie],$BC142,Inventarisatie[Freq. Ma-Vr],$C142,Inventarisatie[Categorie],E$2)</f>
        <v>0</v>
      </c>
      <c r="F142" s="475">
        <f>SUMIFS(Inventarisatie[Oppervlakte],Inventarisatie[Locatie],$BC142,Inventarisatie[Freq. Ma-Vr],$C142,Inventarisatie[Categorie],F$2)</f>
        <v>0</v>
      </c>
      <c r="G142" s="475">
        <f>SUMIFS(Inventarisatie[Oppervlakte],Inventarisatie[Locatie],$BC142,Inventarisatie[Freq. Ma-Vr],$C142,Inventarisatie[Categorie],G$2)</f>
        <v>0</v>
      </c>
      <c r="H142" s="475">
        <f>SUMIFS(Inventarisatie[Oppervlakte],Inventarisatie[Locatie],$BC142,Inventarisatie[Freq. Ma-Vr],$C142,Inventarisatie[Categorie],H$2)</f>
        <v>0</v>
      </c>
      <c r="I142" s="476">
        <f>SUMIFS(Inventarisatie[Oppervlakte],Inventarisatie[Locatie],$BC142,Inventarisatie[Freq. Ma-Vr],$C142,Inventarisatie[Categorie],I$2)</f>
        <v>0</v>
      </c>
      <c r="J142" s="476">
        <f>SUMIFS(Inventarisatie[Oppervlakte],Inventarisatie[Locatie],$BC142,Inventarisatie[Freq. Ma-Vr],$C142,Inventarisatie[Categorie],J$2)</f>
        <v>0</v>
      </c>
      <c r="K142" s="533"/>
      <c r="L142" s="316" t="b">
        <f>IF(_xlfn.XLOOKUP(BC142,Tabel2[Locatiecode],Tabel2[Type locatie],"",0)="vaccin",TRUE,FALSE)</f>
        <v>1</v>
      </c>
      <c r="BB142" s="9">
        <v>140</v>
      </c>
      <c r="BC142" s="9" t="str">
        <v>MDM-AGP</v>
      </c>
      <c r="BD142" s="9" t="str">
        <f t="shared" si="2"/>
        <v/>
      </c>
    </row>
    <row r="143" spans="1:56" ht="0.2" customHeight="1" x14ac:dyDescent="0.2">
      <c r="A143" s="172" cm="1">
        <f t="array" aca="1" ref="A143" ca="1">_xlfn.IFS(SUM(D143:J143)&gt;0,1,OFFSET($K143,-MOD(BB143+4,5),0)=0,2,TRUE,0)</f>
        <v>2</v>
      </c>
      <c r="B143" s="532"/>
      <c r="C143" s="473">
        <v>156</v>
      </c>
      <c r="D143" s="474">
        <f>SUMIFS(Inventarisatie[Oppervlakte],Inventarisatie[Locatie],$BC143,Inventarisatie[Freq. Ma-Vr],$C143,Inventarisatie[Categorie],D$2)</f>
        <v>0</v>
      </c>
      <c r="E143" s="475">
        <f>SUMIFS(Inventarisatie[Oppervlakte],Inventarisatie[Locatie],$BC143,Inventarisatie[Freq. Ma-Vr],$C143,Inventarisatie[Categorie],E$2)</f>
        <v>0</v>
      </c>
      <c r="F143" s="475">
        <f>SUMIFS(Inventarisatie[Oppervlakte],Inventarisatie[Locatie],$BC143,Inventarisatie[Freq. Ma-Vr],$C143,Inventarisatie[Categorie],F$2)</f>
        <v>0</v>
      </c>
      <c r="G143" s="475">
        <f>SUMIFS(Inventarisatie[Oppervlakte],Inventarisatie[Locatie],$BC143,Inventarisatie[Freq. Ma-Vr],$C143,Inventarisatie[Categorie],G$2)</f>
        <v>0</v>
      </c>
      <c r="H143" s="475">
        <f>SUMIFS(Inventarisatie[Oppervlakte],Inventarisatie[Locatie],$BC143,Inventarisatie[Freq. Ma-Vr],$C143,Inventarisatie[Categorie],H$2)</f>
        <v>0</v>
      </c>
      <c r="I143" s="476">
        <f>SUMIFS(Inventarisatie[Oppervlakte],Inventarisatie[Locatie],$BC143,Inventarisatie[Freq. Ma-Vr],$C143,Inventarisatie[Categorie],I$2)</f>
        <v>0</v>
      </c>
      <c r="J143" s="476">
        <f>SUMIFS(Inventarisatie[Oppervlakte],Inventarisatie[Locatie],$BC143,Inventarisatie[Freq. Ma-Vr],$C143,Inventarisatie[Categorie],J$2)</f>
        <v>0</v>
      </c>
      <c r="K143" s="534"/>
      <c r="L143" s="316" t="b">
        <f>IF(_xlfn.XLOOKUP(BC143,Tabel2[Locatiecode],Tabel2[Type locatie],"",0)="vaccin",TRUE,FALSE)</f>
        <v>1</v>
      </c>
      <c r="BB143" s="9">
        <v>141</v>
      </c>
      <c r="BC143" s="9" t="str">
        <v>MDM-AGP</v>
      </c>
      <c r="BD143" s="9" t="str">
        <f t="shared" si="2"/>
        <v/>
      </c>
    </row>
    <row r="144" spans="1:56" ht="0.2" customHeight="1" x14ac:dyDescent="0.2">
      <c r="A144" s="172" cm="1">
        <f t="array" aca="1" ref="A144" ca="1">_xlfn.IFS(SUM(D144:J144)&gt;0,1,OFFSET($K144,-MOD(BB144+4,5),0)=0,2,TRUE,0)</f>
        <v>2</v>
      </c>
      <c r="B144" s="532"/>
      <c r="C144" s="473">
        <v>104</v>
      </c>
      <c r="D144" s="474">
        <f>SUMIFS(Inventarisatie[Oppervlakte],Inventarisatie[Locatie],$BC144,Inventarisatie[Freq. Ma-Vr],$C144,Inventarisatie[Categorie],D$2)</f>
        <v>0</v>
      </c>
      <c r="E144" s="475">
        <f>SUMIFS(Inventarisatie[Oppervlakte],Inventarisatie[Locatie],$BC144,Inventarisatie[Freq. Ma-Vr],$C144,Inventarisatie[Categorie],E$2)</f>
        <v>0</v>
      </c>
      <c r="F144" s="475">
        <f>SUMIFS(Inventarisatie[Oppervlakte],Inventarisatie[Locatie],$BC144,Inventarisatie[Freq. Ma-Vr],$C144,Inventarisatie[Categorie],F$2)</f>
        <v>0</v>
      </c>
      <c r="G144" s="475">
        <f>SUMIFS(Inventarisatie[Oppervlakte],Inventarisatie[Locatie],$BC144,Inventarisatie[Freq. Ma-Vr],$C144,Inventarisatie[Categorie],G$2)</f>
        <v>0</v>
      </c>
      <c r="H144" s="475">
        <f>SUMIFS(Inventarisatie[Oppervlakte],Inventarisatie[Locatie],$BC144,Inventarisatie[Freq. Ma-Vr],$C144,Inventarisatie[Categorie],H$2)</f>
        <v>0</v>
      </c>
      <c r="I144" s="476">
        <f>SUMIFS(Inventarisatie[Oppervlakte],Inventarisatie[Locatie],$BC144,Inventarisatie[Freq. Ma-Vr],$C144,Inventarisatie[Categorie],I$2)</f>
        <v>0</v>
      </c>
      <c r="J144" s="476">
        <f>SUMIFS(Inventarisatie[Oppervlakte],Inventarisatie[Locatie],$BC144,Inventarisatie[Freq. Ma-Vr],$C144,Inventarisatie[Categorie],J$2)</f>
        <v>0</v>
      </c>
      <c r="K144" s="534"/>
      <c r="L144" s="316" t="b">
        <f>IF(_xlfn.XLOOKUP(BC144,Tabel2[Locatiecode],Tabel2[Type locatie],"",0)="vaccin",TRUE,FALSE)</f>
        <v>1</v>
      </c>
      <c r="BB144" s="9">
        <v>142</v>
      </c>
      <c r="BC144" s="9" t="str">
        <v>MDM-AGP</v>
      </c>
      <c r="BD144" s="9" t="str">
        <f t="shared" si="2"/>
        <v/>
      </c>
    </row>
    <row r="145" spans="1:56" ht="0.2" customHeight="1" x14ac:dyDescent="0.2">
      <c r="A145" s="172" cm="1">
        <f t="array" aca="1" ref="A145" ca="1">_xlfn.IFS(SUM(D145:J145)&gt;0,1,OFFSET($K145,-MOD(BB145+4,5),0)=0,2,TRUE,0)</f>
        <v>2</v>
      </c>
      <c r="B145" s="532"/>
      <c r="C145" s="473">
        <v>52</v>
      </c>
      <c r="D145" s="474">
        <f>SUMIFS(Inventarisatie[Oppervlakte],Inventarisatie[Locatie],$BC145,Inventarisatie[Freq. Ma-Vr],$C145,Inventarisatie[Categorie],D$2)</f>
        <v>0</v>
      </c>
      <c r="E145" s="475">
        <f>SUMIFS(Inventarisatie[Oppervlakte],Inventarisatie[Locatie],$BC145,Inventarisatie[Freq. Ma-Vr],$C145,Inventarisatie[Categorie],E$2)</f>
        <v>0</v>
      </c>
      <c r="F145" s="475">
        <f>SUMIFS(Inventarisatie[Oppervlakte],Inventarisatie[Locatie],$BC145,Inventarisatie[Freq. Ma-Vr],$C145,Inventarisatie[Categorie],F$2)</f>
        <v>0</v>
      </c>
      <c r="G145" s="475">
        <f>SUMIFS(Inventarisatie[Oppervlakte],Inventarisatie[Locatie],$BC145,Inventarisatie[Freq. Ma-Vr],$C145,Inventarisatie[Categorie],G$2)</f>
        <v>0</v>
      </c>
      <c r="H145" s="475">
        <f>SUMIFS(Inventarisatie[Oppervlakte],Inventarisatie[Locatie],$BC145,Inventarisatie[Freq. Ma-Vr],$C145,Inventarisatie[Categorie],H$2)</f>
        <v>0</v>
      </c>
      <c r="I145" s="476">
        <f>SUMIFS(Inventarisatie[Oppervlakte],Inventarisatie[Locatie],$BC145,Inventarisatie[Freq. Ma-Vr],$C145,Inventarisatie[Categorie],I$2)</f>
        <v>0</v>
      </c>
      <c r="J145" s="476">
        <f>SUMIFS(Inventarisatie[Oppervlakte],Inventarisatie[Locatie],$BC145,Inventarisatie[Freq. Ma-Vr],$C145,Inventarisatie[Categorie],J$2)</f>
        <v>0</v>
      </c>
      <c r="K145" s="534"/>
      <c r="L145" s="316" t="b">
        <f>IF(_xlfn.XLOOKUP(BC145,Tabel2[Locatiecode],Tabel2[Type locatie],"",0)="vaccin",TRUE,FALSE)</f>
        <v>1</v>
      </c>
      <c r="BB145" s="9">
        <v>143</v>
      </c>
      <c r="BC145" s="9" t="str">
        <v>MDM-AGP</v>
      </c>
      <c r="BD145" s="9" t="str">
        <f t="shared" si="2"/>
        <v/>
      </c>
    </row>
    <row r="146" spans="1:56" ht="0.2" customHeight="1" x14ac:dyDescent="0.2">
      <c r="A146" s="172" cm="1">
        <f t="array" aca="1" ref="A146" ca="1">_xlfn.IFS(SUM(D146:J146)&gt;0,1,OFFSET($K146,-MOD(BB146+4,5),0)=0,2,TRUE,0)</f>
        <v>2</v>
      </c>
      <c r="B146" s="532"/>
      <c r="C146" s="473">
        <v>4</v>
      </c>
      <c r="D146" s="474">
        <f>SUMIFS(Inventarisatie[Oppervlakte],Inventarisatie[Locatie],$BC146,Inventarisatie[Freq. Ma-Vr],$C146,Inventarisatie[Categorie],D$2)</f>
        <v>0</v>
      </c>
      <c r="E146" s="475">
        <f>SUMIFS(Inventarisatie[Oppervlakte],Inventarisatie[Locatie],$BC146,Inventarisatie[Freq. Ma-Vr],$C146,Inventarisatie[Categorie],E$2)</f>
        <v>0</v>
      </c>
      <c r="F146" s="475">
        <f>SUMIFS(Inventarisatie[Oppervlakte],Inventarisatie[Locatie],$BC146,Inventarisatie[Freq. Ma-Vr],$C146,Inventarisatie[Categorie],F$2)</f>
        <v>0</v>
      </c>
      <c r="G146" s="475">
        <f>SUMIFS(Inventarisatie[Oppervlakte],Inventarisatie[Locatie],$BC146,Inventarisatie[Freq. Ma-Vr],$C146,Inventarisatie[Categorie],G$2)</f>
        <v>0</v>
      </c>
      <c r="H146" s="475">
        <f>SUMIFS(Inventarisatie[Oppervlakte],Inventarisatie[Locatie],$BC146,Inventarisatie[Freq. Ma-Vr],$C146,Inventarisatie[Categorie],H$2)</f>
        <v>0</v>
      </c>
      <c r="I146" s="476">
        <f>SUMIFS(Inventarisatie[Oppervlakte],Inventarisatie[Locatie],$BC146,Inventarisatie[Freq. Ma-Vr],$C146,Inventarisatie[Categorie],I$2)</f>
        <v>0</v>
      </c>
      <c r="J146" s="476">
        <f>SUMIFS(Inventarisatie[Oppervlakte],Inventarisatie[Locatie],$BC146,Inventarisatie[Freq. Ma-Vr],$C146,Inventarisatie[Categorie],J$2)</f>
        <v>0</v>
      </c>
      <c r="K146" s="534"/>
      <c r="L146" s="316" t="b">
        <f>IF(_xlfn.XLOOKUP(BC146,Tabel2[Locatiecode],Tabel2[Type locatie],"",0)="vaccin",TRUE,FALSE)</f>
        <v>1</v>
      </c>
      <c r="BB146" s="9">
        <v>144</v>
      </c>
      <c r="BC146" s="9" t="str">
        <v>MDM-AGP</v>
      </c>
      <c r="BD146" s="9" t="str">
        <f t="shared" si="2"/>
        <v/>
      </c>
    </row>
    <row r="147" spans="1:56" ht="15" customHeight="1" x14ac:dyDescent="0.2">
      <c r="A147" s="172" cm="1">
        <f t="array" aca="1" ref="A147" ca="1">_xlfn.IFS(SUM(D147:J147)&gt;0,1,OFFSET($K147,-MOD(BB147+4,5),0)=0,2,TRUE,0)</f>
        <v>1</v>
      </c>
      <c r="B147" s="532" t="str">
        <f>BC147</f>
        <v>MDM-POS</v>
      </c>
      <c r="C147" s="473">
        <v>255</v>
      </c>
      <c r="D147" s="474">
        <f ca="1">SUMIFS(Inventarisatie[Oppervlakte],Inventarisatie[Locatie],$BC147,Inventarisatie[Freq. Ma-Vr],$C147,Inventarisatie[Categorie],D$2)</f>
        <v>41</v>
      </c>
      <c r="E147" s="475">
        <f ca="1">SUMIFS(Inventarisatie[Oppervlakte],Inventarisatie[Locatie],$BC147,Inventarisatie[Freq. Ma-Vr],$C147,Inventarisatie[Categorie],E$2)</f>
        <v>29</v>
      </c>
      <c r="F147" s="475">
        <f ca="1">SUMIFS(Inventarisatie[Oppervlakte],Inventarisatie[Locatie],$BC147,Inventarisatie[Freq. Ma-Vr],$C147,Inventarisatie[Categorie],F$2)</f>
        <v>113</v>
      </c>
      <c r="G147" s="475">
        <f ca="1">SUMIFS(Inventarisatie[Oppervlakte],Inventarisatie[Locatie],$BC147,Inventarisatie[Freq. Ma-Vr],$C147,Inventarisatie[Categorie],G$2)</f>
        <v>0</v>
      </c>
      <c r="H147" s="475">
        <f ca="1">SUMIFS(Inventarisatie[Oppervlakte],Inventarisatie[Locatie],$BC147,Inventarisatie[Freq. Ma-Vr],$C147,Inventarisatie[Categorie],H$2)</f>
        <v>7</v>
      </c>
      <c r="I147" s="476">
        <f ca="1">SUMIFS(Inventarisatie[Oppervlakte],Inventarisatie[Locatie],$BC147,Inventarisatie[Freq. Ma-Vr],$C147,Inventarisatie[Categorie],I$2)</f>
        <v>37</v>
      </c>
      <c r="J147" s="476">
        <f ca="1">SUMIFS(Inventarisatie[Oppervlakte],Inventarisatie[Locatie],$BC147,Inventarisatie[Freq. Ma-Vr],$C147,Inventarisatie[Categorie],J$2)</f>
        <v>0</v>
      </c>
      <c r="K147" s="533">
        <f ca="1">SUM(D147:J152)</f>
        <v>227</v>
      </c>
      <c r="L147" s="316" t="b">
        <f>IF(_xlfn.XLOOKUP(BC147,Tabel2[Locatiecode],Tabel2[Type locatie],"",0)="vaccin",TRUE,FALSE)</f>
        <v>0</v>
      </c>
      <c r="BB147" s="9">
        <v>145</v>
      </c>
      <c r="BC147" s="9" t="str">
        <v>MDM-POS</v>
      </c>
      <c r="BD147" s="9">
        <f t="shared" ca="1" si="2"/>
        <v>255</v>
      </c>
    </row>
    <row r="148" spans="1:56" ht="0.2" customHeight="1" x14ac:dyDescent="0.2">
      <c r="A148" s="172" cm="1">
        <f t="array" aca="1" ref="A148" ca="1">_xlfn.IFS(SUM(D148:J148)&gt;0,1,OFFSET($K148,-MOD(BB148+4,5),0)=0,2,TRUE,0)</f>
        <v>2</v>
      </c>
      <c r="B148" s="532"/>
      <c r="C148" s="473">
        <v>204</v>
      </c>
      <c r="D148" s="474">
        <f ca="1">SUMIFS(Inventarisatie[Oppervlakte],Inventarisatie[Locatie],$BC148,Inventarisatie[Freq. Ma-Vr],$C148,Inventarisatie[Categorie],D$2)</f>
        <v>0</v>
      </c>
      <c r="E148" s="475">
        <f ca="1">SUMIFS(Inventarisatie[Oppervlakte],Inventarisatie[Locatie],$BC148,Inventarisatie[Freq. Ma-Vr],$C148,Inventarisatie[Categorie],E$2)</f>
        <v>0</v>
      </c>
      <c r="F148" s="475">
        <f ca="1">SUMIFS(Inventarisatie[Oppervlakte],Inventarisatie[Locatie],$BC148,Inventarisatie[Freq. Ma-Vr],$C148,Inventarisatie[Categorie],F$2)</f>
        <v>0</v>
      </c>
      <c r="G148" s="475">
        <f ca="1">SUMIFS(Inventarisatie[Oppervlakte],Inventarisatie[Locatie],$BC148,Inventarisatie[Freq. Ma-Vr],$C148,Inventarisatie[Categorie],G$2)</f>
        <v>0</v>
      </c>
      <c r="H148" s="475">
        <f ca="1">SUMIFS(Inventarisatie[Oppervlakte],Inventarisatie[Locatie],$BC148,Inventarisatie[Freq. Ma-Vr],$C148,Inventarisatie[Categorie],H$2)</f>
        <v>0</v>
      </c>
      <c r="I148" s="476">
        <f ca="1">SUMIFS(Inventarisatie[Oppervlakte],Inventarisatie[Locatie],$BC148,Inventarisatie[Freq. Ma-Vr],$C148,Inventarisatie[Categorie],I$2)</f>
        <v>0</v>
      </c>
      <c r="J148" s="476">
        <f ca="1">SUMIFS(Inventarisatie[Oppervlakte],Inventarisatie[Locatie],$BC148,Inventarisatie[Freq. Ma-Vr],$C148,Inventarisatie[Categorie],J$2)</f>
        <v>0</v>
      </c>
      <c r="K148" s="533"/>
      <c r="L148" s="316" t="b">
        <f>IF(_xlfn.XLOOKUP(BC148,Tabel2[Locatiecode],Tabel2[Type locatie],"",0)="vaccin",TRUE,FALSE)</f>
        <v>0</v>
      </c>
      <c r="BB148" s="9">
        <v>146</v>
      </c>
      <c r="BC148" s="9" t="str">
        <v>MDM-POS</v>
      </c>
      <c r="BD148" s="9" t="str">
        <f t="shared" ca="1" si="2"/>
        <v/>
      </c>
    </row>
    <row r="149" spans="1:56" ht="0.2" customHeight="1" x14ac:dyDescent="0.2">
      <c r="A149" s="172" cm="1">
        <f t="array" aca="1" ref="A149" ca="1">_xlfn.IFS(SUM(D149:J149)&gt;0,1,OFFSET($K149,-MOD(BB149+4,5),0)=0,2,TRUE,0)</f>
        <v>2</v>
      </c>
      <c r="B149" s="532"/>
      <c r="C149" s="473">
        <v>156</v>
      </c>
      <c r="D149" s="474">
        <f ca="1">SUMIFS(Inventarisatie[Oppervlakte],Inventarisatie[Locatie],$BC149,Inventarisatie[Freq. Ma-Vr],$C149,Inventarisatie[Categorie],D$2)</f>
        <v>0</v>
      </c>
      <c r="E149" s="475">
        <f ca="1">SUMIFS(Inventarisatie[Oppervlakte],Inventarisatie[Locatie],$BC149,Inventarisatie[Freq. Ma-Vr],$C149,Inventarisatie[Categorie],E$2)</f>
        <v>0</v>
      </c>
      <c r="F149" s="475">
        <f ca="1">SUMIFS(Inventarisatie[Oppervlakte],Inventarisatie[Locatie],$BC149,Inventarisatie[Freq. Ma-Vr],$C149,Inventarisatie[Categorie],F$2)</f>
        <v>0</v>
      </c>
      <c r="G149" s="475">
        <f ca="1">SUMIFS(Inventarisatie[Oppervlakte],Inventarisatie[Locatie],$BC149,Inventarisatie[Freq. Ma-Vr],$C149,Inventarisatie[Categorie],G$2)</f>
        <v>0</v>
      </c>
      <c r="H149" s="475">
        <f ca="1">SUMIFS(Inventarisatie[Oppervlakte],Inventarisatie[Locatie],$BC149,Inventarisatie[Freq. Ma-Vr],$C149,Inventarisatie[Categorie],H$2)</f>
        <v>0</v>
      </c>
      <c r="I149" s="476">
        <f ca="1">SUMIFS(Inventarisatie[Oppervlakte],Inventarisatie[Locatie],$BC149,Inventarisatie[Freq. Ma-Vr],$C149,Inventarisatie[Categorie],I$2)</f>
        <v>0</v>
      </c>
      <c r="J149" s="476">
        <f ca="1">SUMIFS(Inventarisatie[Oppervlakte],Inventarisatie[Locatie],$BC149,Inventarisatie[Freq. Ma-Vr],$C149,Inventarisatie[Categorie],J$2)</f>
        <v>0</v>
      </c>
      <c r="K149" s="534"/>
      <c r="L149" s="316" t="b">
        <f>IF(_xlfn.XLOOKUP(BC149,Tabel2[Locatiecode],Tabel2[Type locatie],"",0)="vaccin",TRUE,FALSE)</f>
        <v>0</v>
      </c>
      <c r="BB149" s="9">
        <v>147</v>
      </c>
      <c r="BC149" s="9" t="str">
        <v>MDM-POS</v>
      </c>
      <c r="BD149" s="9" t="str">
        <f t="shared" ca="1" si="2"/>
        <v/>
      </c>
    </row>
    <row r="150" spans="1:56" ht="0.2" customHeight="1" x14ac:dyDescent="0.2">
      <c r="A150" s="172" cm="1">
        <f t="array" aca="1" ref="A150" ca="1">_xlfn.IFS(SUM(D150:J150)&gt;0,1,OFFSET($K150,-MOD(BB150+4,5),0)=0,2,TRUE,0)</f>
        <v>2</v>
      </c>
      <c r="B150" s="532"/>
      <c r="C150" s="473">
        <v>104</v>
      </c>
      <c r="D150" s="474">
        <f ca="1">SUMIFS(Inventarisatie[Oppervlakte],Inventarisatie[Locatie],$BC150,Inventarisatie[Freq. Ma-Vr],$C150,Inventarisatie[Categorie],D$2)</f>
        <v>0</v>
      </c>
      <c r="E150" s="475">
        <f ca="1">SUMIFS(Inventarisatie[Oppervlakte],Inventarisatie[Locatie],$BC150,Inventarisatie[Freq. Ma-Vr],$C150,Inventarisatie[Categorie],E$2)</f>
        <v>0</v>
      </c>
      <c r="F150" s="475">
        <f ca="1">SUMIFS(Inventarisatie[Oppervlakte],Inventarisatie[Locatie],$BC150,Inventarisatie[Freq. Ma-Vr],$C150,Inventarisatie[Categorie],F$2)</f>
        <v>0</v>
      </c>
      <c r="G150" s="475">
        <f ca="1">SUMIFS(Inventarisatie[Oppervlakte],Inventarisatie[Locatie],$BC150,Inventarisatie[Freq. Ma-Vr],$C150,Inventarisatie[Categorie],G$2)</f>
        <v>0</v>
      </c>
      <c r="H150" s="475">
        <f ca="1">SUMIFS(Inventarisatie[Oppervlakte],Inventarisatie[Locatie],$BC150,Inventarisatie[Freq. Ma-Vr],$C150,Inventarisatie[Categorie],H$2)</f>
        <v>0</v>
      </c>
      <c r="I150" s="476">
        <f ca="1">SUMIFS(Inventarisatie[Oppervlakte],Inventarisatie[Locatie],$BC150,Inventarisatie[Freq. Ma-Vr],$C150,Inventarisatie[Categorie],I$2)</f>
        <v>0</v>
      </c>
      <c r="J150" s="476">
        <f ca="1">SUMIFS(Inventarisatie[Oppervlakte],Inventarisatie[Locatie],$BC150,Inventarisatie[Freq. Ma-Vr],$C150,Inventarisatie[Categorie],J$2)</f>
        <v>0</v>
      </c>
      <c r="K150" s="534"/>
      <c r="L150" s="316" t="b">
        <f>IF(_xlfn.XLOOKUP(BC150,Tabel2[Locatiecode],Tabel2[Type locatie],"",0)="vaccin",TRUE,FALSE)</f>
        <v>0</v>
      </c>
      <c r="BB150" s="9">
        <v>148</v>
      </c>
      <c r="BC150" s="9" t="str">
        <v>MDM-POS</v>
      </c>
      <c r="BD150" s="9" t="str">
        <f t="shared" ca="1" si="2"/>
        <v/>
      </c>
    </row>
    <row r="151" spans="1:56" ht="0.2" customHeight="1" x14ac:dyDescent="0.2">
      <c r="A151" s="172" cm="1">
        <f t="array" aca="1" ref="A151" ca="1">_xlfn.IFS(SUM(D151:J151)&gt;0,1,OFFSET($K151,-MOD(BB151+4,5),0)=0,2,TRUE,0)</f>
        <v>2</v>
      </c>
      <c r="B151" s="532"/>
      <c r="C151" s="473">
        <v>52</v>
      </c>
      <c r="D151" s="474">
        <f ca="1">SUMIFS(Inventarisatie[Oppervlakte],Inventarisatie[Locatie],$BC151,Inventarisatie[Freq. Ma-Vr],$C151,Inventarisatie[Categorie],D$2)</f>
        <v>0</v>
      </c>
      <c r="E151" s="475">
        <f ca="1">SUMIFS(Inventarisatie[Oppervlakte],Inventarisatie[Locatie],$BC151,Inventarisatie[Freq. Ma-Vr],$C151,Inventarisatie[Categorie],E$2)</f>
        <v>0</v>
      </c>
      <c r="F151" s="475">
        <f ca="1">SUMIFS(Inventarisatie[Oppervlakte],Inventarisatie[Locatie],$BC151,Inventarisatie[Freq. Ma-Vr],$C151,Inventarisatie[Categorie],F$2)</f>
        <v>0</v>
      </c>
      <c r="G151" s="475">
        <f ca="1">SUMIFS(Inventarisatie[Oppervlakte],Inventarisatie[Locatie],$BC151,Inventarisatie[Freq. Ma-Vr],$C151,Inventarisatie[Categorie],G$2)</f>
        <v>0</v>
      </c>
      <c r="H151" s="475">
        <f ca="1">SUMIFS(Inventarisatie[Oppervlakte],Inventarisatie[Locatie],$BC151,Inventarisatie[Freq. Ma-Vr],$C151,Inventarisatie[Categorie],H$2)</f>
        <v>0</v>
      </c>
      <c r="I151" s="476">
        <f ca="1">SUMIFS(Inventarisatie[Oppervlakte],Inventarisatie[Locatie],$BC151,Inventarisatie[Freq. Ma-Vr],$C151,Inventarisatie[Categorie],I$2)</f>
        <v>0</v>
      </c>
      <c r="J151" s="476">
        <f ca="1">SUMIFS(Inventarisatie[Oppervlakte],Inventarisatie[Locatie],$BC151,Inventarisatie[Freq. Ma-Vr],$C151,Inventarisatie[Categorie],J$2)</f>
        <v>0</v>
      </c>
      <c r="K151" s="534"/>
      <c r="L151" s="316" t="b">
        <f>IF(_xlfn.XLOOKUP(BC151,Tabel2[Locatiecode],Tabel2[Type locatie],"",0)="vaccin",TRUE,FALSE)</f>
        <v>0</v>
      </c>
      <c r="BB151" s="9">
        <v>149</v>
      </c>
      <c r="BC151" s="9" t="str">
        <v>MDM-POS</v>
      </c>
      <c r="BD151" s="9" t="str">
        <f t="shared" ca="1" si="2"/>
        <v/>
      </c>
    </row>
    <row r="152" spans="1:56" ht="0.2" customHeight="1" x14ac:dyDescent="0.2">
      <c r="A152" s="172" cm="1">
        <f t="array" aca="1" ref="A152" ca="1">_xlfn.IFS(SUM(D152:J152)&gt;0,1,OFFSET($K152,-MOD(BB152+4,5),0)=0,2,TRUE,0)</f>
        <v>2</v>
      </c>
      <c r="B152" s="532"/>
      <c r="C152" s="473">
        <v>4</v>
      </c>
      <c r="D152" s="474">
        <f ca="1">SUMIFS(Inventarisatie[Oppervlakte],Inventarisatie[Locatie],$BC152,Inventarisatie[Freq. Ma-Vr],$C152,Inventarisatie[Categorie],D$2)</f>
        <v>0</v>
      </c>
      <c r="E152" s="475">
        <f ca="1">SUMIFS(Inventarisatie[Oppervlakte],Inventarisatie[Locatie],$BC152,Inventarisatie[Freq. Ma-Vr],$C152,Inventarisatie[Categorie],E$2)</f>
        <v>0</v>
      </c>
      <c r="F152" s="475">
        <f ca="1">SUMIFS(Inventarisatie[Oppervlakte],Inventarisatie[Locatie],$BC152,Inventarisatie[Freq. Ma-Vr],$C152,Inventarisatie[Categorie],F$2)</f>
        <v>0</v>
      </c>
      <c r="G152" s="475">
        <f ca="1">SUMIFS(Inventarisatie[Oppervlakte],Inventarisatie[Locatie],$BC152,Inventarisatie[Freq. Ma-Vr],$C152,Inventarisatie[Categorie],G$2)</f>
        <v>0</v>
      </c>
      <c r="H152" s="475">
        <f ca="1">SUMIFS(Inventarisatie[Oppervlakte],Inventarisatie[Locatie],$BC152,Inventarisatie[Freq. Ma-Vr],$C152,Inventarisatie[Categorie],H$2)</f>
        <v>0</v>
      </c>
      <c r="I152" s="476">
        <f ca="1">SUMIFS(Inventarisatie[Oppervlakte],Inventarisatie[Locatie],$BC152,Inventarisatie[Freq. Ma-Vr],$C152,Inventarisatie[Categorie],I$2)</f>
        <v>0</v>
      </c>
      <c r="J152" s="476">
        <f ca="1">SUMIFS(Inventarisatie[Oppervlakte],Inventarisatie[Locatie],$BC152,Inventarisatie[Freq. Ma-Vr],$C152,Inventarisatie[Categorie],J$2)</f>
        <v>0</v>
      </c>
      <c r="K152" s="534"/>
      <c r="L152" s="316" t="b">
        <f>IF(_xlfn.XLOOKUP(BC152,Tabel2[Locatiecode],Tabel2[Type locatie],"",0)="vaccin",TRUE,FALSE)</f>
        <v>0</v>
      </c>
      <c r="BB152" s="9">
        <v>150</v>
      </c>
      <c r="BC152" s="9" t="str">
        <v>MDM-POS</v>
      </c>
      <c r="BD152" s="9" t="str">
        <f t="shared" ca="1" si="2"/>
        <v/>
      </c>
    </row>
    <row r="153" spans="1:56" ht="15" customHeight="1" x14ac:dyDescent="0.2">
      <c r="A153" s="172" cm="1">
        <f t="array" aca="1" ref="A153" ca="1">_xlfn.IFS(SUM(D153:J153)&gt;0,1,OFFSET($K153,-MOD(BB153+4,5),0)=0,2,TRUE,0)</f>
        <v>1</v>
      </c>
      <c r="B153" s="532" t="str">
        <f>BC153</f>
        <v>NND-DMT</v>
      </c>
      <c r="C153" s="473">
        <v>255</v>
      </c>
      <c r="D153" s="474">
        <f ca="1">SUMIFS(Inventarisatie[Oppervlakte],Inventarisatie[Locatie],$BC153,Inventarisatie[Freq. Ma-Vr],$C153,Inventarisatie[Categorie],D$2)</f>
        <v>52</v>
      </c>
      <c r="E153" s="475">
        <f ca="1">SUMIFS(Inventarisatie[Oppervlakte],Inventarisatie[Locatie],$BC153,Inventarisatie[Freq. Ma-Vr],$C153,Inventarisatie[Categorie],E$2)</f>
        <v>32.4</v>
      </c>
      <c r="F153" s="475">
        <f ca="1">SUMIFS(Inventarisatie[Oppervlakte],Inventarisatie[Locatie],$BC153,Inventarisatie[Freq. Ma-Vr],$C153,Inventarisatie[Categorie],F$2)</f>
        <v>44</v>
      </c>
      <c r="G153" s="475">
        <f ca="1">SUMIFS(Inventarisatie[Oppervlakte],Inventarisatie[Locatie],$BC153,Inventarisatie[Freq. Ma-Vr],$C153,Inventarisatie[Categorie],G$2)</f>
        <v>5.2</v>
      </c>
      <c r="H153" s="475">
        <f ca="1">SUMIFS(Inventarisatie[Oppervlakte],Inventarisatie[Locatie],$BC153,Inventarisatie[Freq. Ma-Vr],$C153,Inventarisatie[Categorie],H$2)</f>
        <v>2.2999999999999998</v>
      </c>
      <c r="I153" s="476">
        <f ca="1">SUMIFS(Inventarisatie[Oppervlakte],Inventarisatie[Locatie],$BC153,Inventarisatie[Freq. Ma-Vr],$C153,Inventarisatie[Categorie],I$2)</f>
        <v>0</v>
      </c>
      <c r="J153" s="476">
        <f ca="1">SUMIFS(Inventarisatie[Oppervlakte],Inventarisatie[Locatie],$BC153,Inventarisatie[Freq. Ma-Vr],$C153,Inventarisatie[Categorie],J$2)</f>
        <v>0</v>
      </c>
      <c r="K153" s="533">
        <f ca="1">SUM(D153:J158)</f>
        <v>135.9</v>
      </c>
      <c r="L153" s="316" t="b">
        <f>IF(_xlfn.XLOOKUP(BC153,Tabel2[Locatiecode],Tabel2[Type locatie],"",0)="vaccin",TRUE,FALSE)</f>
        <v>0</v>
      </c>
      <c r="BB153" s="9">
        <v>151</v>
      </c>
      <c r="BC153" s="9" t="str">
        <v>NND-DMT</v>
      </c>
      <c r="BD153" s="9">
        <f t="shared" ca="1" si="2"/>
        <v>255</v>
      </c>
    </row>
    <row r="154" spans="1:56" ht="0.2" customHeight="1" x14ac:dyDescent="0.2">
      <c r="A154" s="172" cm="1">
        <f t="array" aca="1" ref="A154" ca="1">_xlfn.IFS(SUM(D154:J154)&gt;0,1,OFFSET($K154,-MOD(BB154+4,5),0)=0,2,TRUE,0)</f>
        <v>0</v>
      </c>
      <c r="B154" s="532"/>
      <c r="C154" s="473">
        <v>204</v>
      </c>
      <c r="D154" s="474">
        <f ca="1">SUMIFS(Inventarisatie[Oppervlakte],Inventarisatie[Locatie],$BC154,Inventarisatie[Freq. Ma-Vr],$C154,Inventarisatie[Categorie],D$2)</f>
        <v>0</v>
      </c>
      <c r="E154" s="475">
        <f ca="1">SUMIFS(Inventarisatie[Oppervlakte],Inventarisatie[Locatie],$BC154,Inventarisatie[Freq. Ma-Vr],$C154,Inventarisatie[Categorie],E$2)</f>
        <v>0</v>
      </c>
      <c r="F154" s="475">
        <f ca="1">SUMIFS(Inventarisatie[Oppervlakte],Inventarisatie[Locatie],$BC154,Inventarisatie[Freq. Ma-Vr],$C154,Inventarisatie[Categorie],F$2)</f>
        <v>0</v>
      </c>
      <c r="G154" s="475">
        <f ca="1">SUMIFS(Inventarisatie[Oppervlakte],Inventarisatie[Locatie],$BC154,Inventarisatie[Freq. Ma-Vr],$C154,Inventarisatie[Categorie],G$2)</f>
        <v>0</v>
      </c>
      <c r="H154" s="475">
        <f ca="1">SUMIFS(Inventarisatie[Oppervlakte],Inventarisatie[Locatie],$BC154,Inventarisatie[Freq. Ma-Vr],$C154,Inventarisatie[Categorie],H$2)</f>
        <v>0</v>
      </c>
      <c r="I154" s="476">
        <f ca="1">SUMIFS(Inventarisatie[Oppervlakte],Inventarisatie[Locatie],$BC154,Inventarisatie[Freq. Ma-Vr],$C154,Inventarisatie[Categorie],I$2)</f>
        <v>0</v>
      </c>
      <c r="J154" s="476">
        <f ca="1">SUMIFS(Inventarisatie[Oppervlakte],Inventarisatie[Locatie],$BC154,Inventarisatie[Freq. Ma-Vr],$C154,Inventarisatie[Categorie],J$2)</f>
        <v>0</v>
      </c>
      <c r="K154" s="533"/>
      <c r="L154" s="316" t="b">
        <f>IF(_xlfn.XLOOKUP(BC154,Tabel2[Locatiecode],Tabel2[Type locatie],"",0)="vaccin",TRUE,FALSE)</f>
        <v>0</v>
      </c>
      <c r="BB154" s="9">
        <v>152</v>
      </c>
      <c r="BC154" s="9" t="str">
        <v>NND-DMT</v>
      </c>
      <c r="BD154" s="9" t="str">
        <f t="shared" ca="1" si="2"/>
        <v/>
      </c>
    </row>
    <row r="155" spans="1:56" ht="0.2" customHeight="1" x14ac:dyDescent="0.2">
      <c r="A155" s="172" cm="1">
        <f t="array" aca="1" ref="A155" ca="1">_xlfn.IFS(SUM(D155:J155)&gt;0,1,OFFSET($K155,-MOD(BB155+4,5),0)=0,2,TRUE,0)</f>
        <v>0</v>
      </c>
      <c r="B155" s="532"/>
      <c r="C155" s="473">
        <v>156</v>
      </c>
      <c r="D155" s="474">
        <f ca="1">SUMIFS(Inventarisatie[Oppervlakte],Inventarisatie[Locatie],$BC155,Inventarisatie[Freq. Ma-Vr],$C155,Inventarisatie[Categorie],D$2)</f>
        <v>0</v>
      </c>
      <c r="E155" s="475">
        <f ca="1">SUMIFS(Inventarisatie[Oppervlakte],Inventarisatie[Locatie],$BC155,Inventarisatie[Freq. Ma-Vr],$C155,Inventarisatie[Categorie],E$2)</f>
        <v>0</v>
      </c>
      <c r="F155" s="475">
        <f ca="1">SUMIFS(Inventarisatie[Oppervlakte],Inventarisatie[Locatie],$BC155,Inventarisatie[Freq. Ma-Vr],$C155,Inventarisatie[Categorie],F$2)</f>
        <v>0</v>
      </c>
      <c r="G155" s="475">
        <f ca="1">SUMIFS(Inventarisatie[Oppervlakte],Inventarisatie[Locatie],$BC155,Inventarisatie[Freq. Ma-Vr],$C155,Inventarisatie[Categorie],G$2)</f>
        <v>0</v>
      </c>
      <c r="H155" s="475">
        <f ca="1">SUMIFS(Inventarisatie[Oppervlakte],Inventarisatie[Locatie],$BC155,Inventarisatie[Freq. Ma-Vr],$C155,Inventarisatie[Categorie],H$2)</f>
        <v>0</v>
      </c>
      <c r="I155" s="476">
        <f ca="1">SUMIFS(Inventarisatie[Oppervlakte],Inventarisatie[Locatie],$BC155,Inventarisatie[Freq. Ma-Vr],$C155,Inventarisatie[Categorie],I$2)</f>
        <v>0</v>
      </c>
      <c r="J155" s="476">
        <f ca="1">SUMIFS(Inventarisatie[Oppervlakte],Inventarisatie[Locatie],$BC155,Inventarisatie[Freq. Ma-Vr],$C155,Inventarisatie[Categorie],J$2)</f>
        <v>0</v>
      </c>
      <c r="K155" s="534"/>
      <c r="L155" s="316" t="b">
        <f>IF(_xlfn.XLOOKUP(BC155,Tabel2[Locatiecode],Tabel2[Type locatie],"",0)="vaccin",TRUE,FALSE)</f>
        <v>0</v>
      </c>
      <c r="BB155" s="9">
        <v>153</v>
      </c>
      <c r="BC155" s="9" t="str">
        <v>NND-DMT</v>
      </c>
      <c r="BD155" s="9" t="str">
        <f t="shared" ca="1" si="2"/>
        <v/>
      </c>
    </row>
    <row r="156" spans="1:56" ht="0.2" customHeight="1" x14ac:dyDescent="0.2">
      <c r="A156" s="172" cm="1">
        <f t="array" aca="1" ref="A156" ca="1">_xlfn.IFS(SUM(D156:J156)&gt;0,1,OFFSET($K156,-MOD(BB156+4,5),0)=0,2,TRUE,0)</f>
        <v>0</v>
      </c>
      <c r="B156" s="532"/>
      <c r="C156" s="473">
        <v>104</v>
      </c>
      <c r="D156" s="474">
        <f ca="1">SUMIFS(Inventarisatie[Oppervlakte],Inventarisatie[Locatie],$BC156,Inventarisatie[Freq. Ma-Vr],$C156,Inventarisatie[Categorie],D$2)</f>
        <v>0</v>
      </c>
      <c r="E156" s="475">
        <f ca="1">SUMIFS(Inventarisatie[Oppervlakte],Inventarisatie[Locatie],$BC156,Inventarisatie[Freq. Ma-Vr],$C156,Inventarisatie[Categorie],E$2)</f>
        <v>0</v>
      </c>
      <c r="F156" s="475">
        <f ca="1">SUMIFS(Inventarisatie[Oppervlakte],Inventarisatie[Locatie],$BC156,Inventarisatie[Freq. Ma-Vr],$C156,Inventarisatie[Categorie],F$2)</f>
        <v>0</v>
      </c>
      <c r="G156" s="475">
        <f ca="1">SUMIFS(Inventarisatie[Oppervlakte],Inventarisatie[Locatie],$BC156,Inventarisatie[Freq. Ma-Vr],$C156,Inventarisatie[Categorie],G$2)</f>
        <v>0</v>
      </c>
      <c r="H156" s="475">
        <f ca="1">SUMIFS(Inventarisatie[Oppervlakte],Inventarisatie[Locatie],$BC156,Inventarisatie[Freq. Ma-Vr],$C156,Inventarisatie[Categorie],H$2)</f>
        <v>0</v>
      </c>
      <c r="I156" s="476">
        <f ca="1">SUMIFS(Inventarisatie[Oppervlakte],Inventarisatie[Locatie],$BC156,Inventarisatie[Freq. Ma-Vr],$C156,Inventarisatie[Categorie],I$2)</f>
        <v>0</v>
      </c>
      <c r="J156" s="476">
        <f ca="1">SUMIFS(Inventarisatie[Oppervlakte],Inventarisatie[Locatie],$BC156,Inventarisatie[Freq. Ma-Vr],$C156,Inventarisatie[Categorie],J$2)</f>
        <v>0</v>
      </c>
      <c r="K156" s="534"/>
      <c r="L156" s="316" t="b">
        <f>IF(_xlfn.XLOOKUP(BC156,Tabel2[Locatiecode],Tabel2[Type locatie],"",0)="vaccin",TRUE,FALSE)</f>
        <v>0</v>
      </c>
      <c r="BB156" s="9">
        <v>154</v>
      </c>
      <c r="BC156" s="9" t="str">
        <v>NND-DMT</v>
      </c>
      <c r="BD156" s="9" t="str">
        <f t="shared" ca="1" si="2"/>
        <v/>
      </c>
    </row>
    <row r="157" spans="1:56" ht="0.2" customHeight="1" x14ac:dyDescent="0.2">
      <c r="A157" s="172" cm="1">
        <f t="array" aca="1" ref="A157" ca="1">_xlfn.IFS(SUM(D157:J157)&gt;0,1,OFFSET($K157,-MOD(BB157+4,5),0)=0,2,TRUE,0)</f>
        <v>0</v>
      </c>
      <c r="B157" s="532"/>
      <c r="C157" s="473">
        <v>52</v>
      </c>
      <c r="D157" s="474">
        <f ca="1">SUMIFS(Inventarisatie[Oppervlakte],Inventarisatie[Locatie],$BC157,Inventarisatie[Freq. Ma-Vr],$C157,Inventarisatie[Categorie],D$2)</f>
        <v>0</v>
      </c>
      <c r="E157" s="475">
        <f ca="1">SUMIFS(Inventarisatie[Oppervlakte],Inventarisatie[Locatie],$BC157,Inventarisatie[Freq. Ma-Vr],$C157,Inventarisatie[Categorie],E$2)</f>
        <v>0</v>
      </c>
      <c r="F157" s="475">
        <f ca="1">SUMIFS(Inventarisatie[Oppervlakte],Inventarisatie[Locatie],$BC157,Inventarisatie[Freq. Ma-Vr],$C157,Inventarisatie[Categorie],F$2)</f>
        <v>0</v>
      </c>
      <c r="G157" s="475">
        <f ca="1">SUMIFS(Inventarisatie[Oppervlakte],Inventarisatie[Locatie],$BC157,Inventarisatie[Freq. Ma-Vr],$C157,Inventarisatie[Categorie],G$2)</f>
        <v>0</v>
      </c>
      <c r="H157" s="475">
        <f ca="1">SUMIFS(Inventarisatie[Oppervlakte],Inventarisatie[Locatie],$BC157,Inventarisatie[Freq. Ma-Vr],$C157,Inventarisatie[Categorie],H$2)</f>
        <v>0</v>
      </c>
      <c r="I157" s="476">
        <f ca="1">SUMIFS(Inventarisatie[Oppervlakte],Inventarisatie[Locatie],$BC157,Inventarisatie[Freq. Ma-Vr],$C157,Inventarisatie[Categorie],I$2)</f>
        <v>0</v>
      </c>
      <c r="J157" s="476">
        <f ca="1">SUMIFS(Inventarisatie[Oppervlakte],Inventarisatie[Locatie],$BC157,Inventarisatie[Freq. Ma-Vr],$C157,Inventarisatie[Categorie],J$2)</f>
        <v>0</v>
      </c>
      <c r="K157" s="534"/>
      <c r="L157" s="316" t="b">
        <f>IF(_xlfn.XLOOKUP(BC157,Tabel2[Locatiecode],Tabel2[Type locatie],"",0)="vaccin",TRUE,FALSE)</f>
        <v>0</v>
      </c>
      <c r="BB157" s="9">
        <v>155</v>
      </c>
      <c r="BC157" s="9" t="str">
        <v>NND-DMT</v>
      </c>
      <c r="BD157" s="9" t="str">
        <f t="shared" ca="1" si="2"/>
        <v/>
      </c>
    </row>
    <row r="158" spans="1:56" ht="0.2" customHeight="1" x14ac:dyDescent="0.2">
      <c r="A158" s="172" cm="1">
        <f t="array" aca="1" ref="A158" ca="1">_xlfn.IFS(SUM(D158:J158)&gt;0,1,OFFSET($K158,-MOD(BB158+4,5),0)=0,2,TRUE,0)</f>
        <v>2</v>
      </c>
      <c r="B158" s="532"/>
      <c r="C158" s="473">
        <v>4</v>
      </c>
      <c r="D158" s="474">
        <f ca="1">SUMIFS(Inventarisatie[Oppervlakte],Inventarisatie[Locatie],$BC158,Inventarisatie[Freq. Ma-Vr],$C158,Inventarisatie[Categorie],D$2)</f>
        <v>0</v>
      </c>
      <c r="E158" s="475">
        <f ca="1">SUMIFS(Inventarisatie[Oppervlakte],Inventarisatie[Locatie],$BC158,Inventarisatie[Freq. Ma-Vr],$C158,Inventarisatie[Categorie],E$2)</f>
        <v>0</v>
      </c>
      <c r="F158" s="475">
        <f ca="1">SUMIFS(Inventarisatie[Oppervlakte],Inventarisatie[Locatie],$BC158,Inventarisatie[Freq. Ma-Vr],$C158,Inventarisatie[Categorie],F$2)</f>
        <v>0</v>
      </c>
      <c r="G158" s="475">
        <f ca="1">SUMIFS(Inventarisatie[Oppervlakte],Inventarisatie[Locatie],$BC158,Inventarisatie[Freq. Ma-Vr],$C158,Inventarisatie[Categorie],G$2)</f>
        <v>0</v>
      </c>
      <c r="H158" s="475">
        <f ca="1">SUMIFS(Inventarisatie[Oppervlakte],Inventarisatie[Locatie],$BC158,Inventarisatie[Freq. Ma-Vr],$C158,Inventarisatie[Categorie],H$2)</f>
        <v>0</v>
      </c>
      <c r="I158" s="476">
        <f ca="1">SUMIFS(Inventarisatie[Oppervlakte],Inventarisatie[Locatie],$BC158,Inventarisatie[Freq. Ma-Vr],$C158,Inventarisatie[Categorie],I$2)</f>
        <v>0</v>
      </c>
      <c r="J158" s="476">
        <f ca="1">SUMIFS(Inventarisatie[Oppervlakte],Inventarisatie[Locatie],$BC158,Inventarisatie[Freq. Ma-Vr],$C158,Inventarisatie[Categorie],J$2)</f>
        <v>0</v>
      </c>
      <c r="K158" s="534"/>
      <c r="L158" s="316" t="b">
        <f>IF(_xlfn.XLOOKUP(BC158,Tabel2[Locatiecode],Tabel2[Type locatie],"",0)="vaccin",TRUE,FALSE)</f>
        <v>0</v>
      </c>
      <c r="BB158" s="9">
        <v>156</v>
      </c>
      <c r="BC158" s="9" t="str">
        <v>NND-DMT</v>
      </c>
      <c r="BD158" s="9" t="str">
        <f t="shared" ca="1" si="2"/>
        <v/>
      </c>
    </row>
    <row r="159" spans="1:56" ht="15" customHeight="1" x14ac:dyDescent="0.2">
      <c r="A159" s="172" cm="1">
        <f t="array" aca="1" ref="A159" ca="1">_xlfn.IFS(SUM(D159:J159)&gt;0,1,OFFSET($K159,-MOD(BB159+4,5),0)=0,2,TRUE,0)</f>
        <v>1</v>
      </c>
      <c r="B159" s="532" t="str">
        <f>BC159</f>
        <v>OBD-LMS</v>
      </c>
      <c r="C159" s="473">
        <v>255</v>
      </c>
      <c r="D159" s="474">
        <f ca="1">SUMIFS(Inventarisatie[Oppervlakte],Inventarisatie[Locatie],$BC159,Inventarisatie[Freq. Ma-Vr],$C159,Inventarisatie[Categorie],D$2)</f>
        <v>41.9</v>
      </c>
      <c r="E159" s="475">
        <f ca="1">SUMIFS(Inventarisatie[Oppervlakte],Inventarisatie[Locatie],$BC159,Inventarisatie[Freq. Ma-Vr],$C159,Inventarisatie[Categorie],E$2)</f>
        <v>0</v>
      </c>
      <c r="F159" s="475">
        <f ca="1">SUMIFS(Inventarisatie[Oppervlakte],Inventarisatie[Locatie],$BC159,Inventarisatie[Freq. Ma-Vr],$C159,Inventarisatie[Categorie],F$2)</f>
        <v>64.8</v>
      </c>
      <c r="G159" s="475">
        <f ca="1">SUMIFS(Inventarisatie[Oppervlakte],Inventarisatie[Locatie],$BC159,Inventarisatie[Freq. Ma-Vr],$C159,Inventarisatie[Categorie],G$2)</f>
        <v>0</v>
      </c>
      <c r="H159" s="475">
        <f ca="1">SUMIFS(Inventarisatie[Oppervlakte],Inventarisatie[Locatie],$BC159,Inventarisatie[Freq. Ma-Vr],$C159,Inventarisatie[Categorie],H$2)</f>
        <v>4.7</v>
      </c>
      <c r="I159" s="476">
        <f ca="1">SUMIFS(Inventarisatie[Oppervlakte],Inventarisatie[Locatie],$BC159,Inventarisatie[Freq. Ma-Vr],$C159,Inventarisatie[Categorie],I$2)</f>
        <v>38.200000000000003</v>
      </c>
      <c r="J159" s="476">
        <f ca="1">SUMIFS(Inventarisatie[Oppervlakte],Inventarisatie[Locatie],$BC159,Inventarisatie[Freq. Ma-Vr],$C159,Inventarisatie[Categorie],J$2)</f>
        <v>0</v>
      </c>
      <c r="K159" s="533">
        <f ca="1">SUM(D159:J164)</f>
        <v>149.6</v>
      </c>
      <c r="L159" s="316" t="b">
        <f>IF(_xlfn.XLOOKUP(BC159,Tabel2[Locatiecode],Tabel2[Type locatie],"",0)="vaccin",TRUE,FALSE)</f>
        <v>0</v>
      </c>
      <c r="BB159" s="9">
        <v>157</v>
      </c>
      <c r="BC159" s="9" t="str">
        <v>OBD-LMS</v>
      </c>
      <c r="BD159" s="9">
        <f t="shared" ca="1" si="2"/>
        <v>255</v>
      </c>
    </row>
    <row r="160" spans="1:56" ht="0.2" customHeight="1" x14ac:dyDescent="0.2">
      <c r="A160" s="172" cm="1">
        <f t="array" aca="1" ref="A160" ca="1">_xlfn.IFS(SUM(D160:J160)&gt;0,1,OFFSET($K160,-MOD(BB160+4,5),0)=0,2,TRUE,0)</f>
        <v>2</v>
      </c>
      <c r="B160" s="532"/>
      <c r="C160" s="473">
        <v>204</v>
      </c>
      <c r="D160" s="474">
        <f ca="1">SUMIFS(Inventarisatie[Oppervlakte],Inventarisatie[Locatie],$BC160,Inventarisatie[Freq. Ma-Vr],$C160,Inventarisatie[Categorie],D$2)</f>
        <v>0</v>
      </c>
      <c r="E160" s="475">
        <f ca="1">SUMIFS(Inventarisatie[Oppervlakte],Inventarisatie[Locatie],$BC160,Inventarisatie[Freq. Ma-Vr],$C160,Inventarisatie[Categorie],E$2)</f>
        <v>0</v>
      </c>
      <c r="F160" s="475">
        <f ca="1">SUMIFS(Inventarisatie[Oppervlakte],Inventarisatie[Locatie],$BC160,Inventarisatie[Freq. Ma-Vr],$C160,Inventarisatie[Categorie],F$2)</f>
        <v>0</v>
      </c>
      <c r="G160" s="475">
        <f ca="1">SUMIFS(Inventarisatie[Oppervlakte],Inventarisatie[Locatie],$BC160,Inventarisatie[Freq. Ma-Vr],$C160,Inventarisatie[Categorie],G$2)</f>
        <v>0</v>
      </c>
      <c r="H160" s="475">
        <f ca="1">SUMIFS(Inventarisatie[Oppervlakte],Inventarisatie[Locatie],$BC160,Inventarisatie[Freq. Ma-Vr],$C160,Inventarisatie[Categorie],H$2)</f>
        <v>0</v>
      </c>
      <c r="I160" s="476">
        <f ca="1">SUMIFS(Inventarisatie[Oppervlakte],Inventarisatie[Locatie],$BC160,Inventarisatie[Freq. Ma-Vr],$C160,Inventarisatie[Categorie],I$2)</f>
        <v>0</v>
      </c>
      <c r="J160" s="476">
        <f ca="1">SUMIFS(Inventarisatie[Oppervlakte],Inventarisatie[Locatie],$BC160,Inventarisatie[Freq. Ma-Vr],$C160,Inventarisatie[Categorie],J$2)</f>
        <v>0</v>
      </c>
      <c r="K160" s="533"/>
      <c r="L160" s="316" t="b">
        <f>IF(_xlfn.XLOOKUP(BC160,Tabel2[Locatiecode],Tabel2[Type locatie],"",0)="vaccin",TRUE,FALSE)</f>
        <v>0</v>
      </c>
      <c r="BB160" s="9">
        <v>158</v>
      </c>
      <c r="BC160" s="9" t="str">
        <v>OBD-LMS</v>
      </c>
      <c r="BD160" s="9" t="str">
        <f t="shared" ca="1" si="2"/>
        <v/>
      </c>
    </row>
    <row r="161" spans="1:56" ht="0.2" customHeight="1" x14ac:dyDescent="0.2">
      <c r="A161" s="172" cm="1">
        <f t="array" aca="1" ref="A161" ca="1">_xlfn.IFS(SUM(D161:J161)&gt;0,1,OFFSET($K161,-MOD(BB161+4,5),0)=0,2,TRUE,0)</f>
        <v>2</v>
      </c>
      <c r="B161" s="532"/>
      <c r="C161" s="473">
        <v>156</v>
      </c>
      <c r="D161" s="474">
        <f ca="1">SUMIFS(Inventarisatie[Oppervlakte],Inventarisatie[Locatie],$BC161,Inventarisatie[Freq. Ma-Vr],$C161,Inventarisatie[Categorie],D$2)</f>
        <v>0</v>
      </c>
      <c r="E161" s="475">
        <f ca="1">SUMIFS(Inventarisatie[Oppervlakte],Inventarisatie[Locatie],$BC161,Inventarisatie[Freq. Ma-Vr],$C161,Inventarisatie[Categorie],E$2)</f>
        <v>0</v>
      </c>
      <c r="F161" s="475">
        <f ca="1">SUMIFS(Inventarisatie[Oppervlakte],Inventarisatie[Locatie],$BC161,Inventarisatie[Freq. Ma-Vr],$C161,Inventarisatie[Categorie],F$2)</f>
        <v>0</v>
      </c>
      <c r="G161" s="475">
        <f ca="1">SUMIFS(Inventarisatie[Oppervlakte],Inventarisatie[Locatie],$BC161,Inventarisatie[Freq. Ma-Vr],$C161,Inventarisatie[Categorie],G$2)</f>
        <v>0</v>
      </c>
      <c r="H161" s="475">
        <f ca="1">SUMIFS(Inventarisatie[Oppervlakte],Inventarisatie[Locatie],$BC161,Inventarisatie[Freq. Ma-Vr],$C161,Inventarisatie[Categorie],H$2)</f>
        <v>0</v>
      </c>
      <c r="I161" s="476">
        <f ca="1">SUMIFS(Inventarisatie[Oppervlakte],Inventarisatie[Locatie],$BC161,Inventarisatie[Freq. Ma-Vr],$C161,Inventarisatie[Categorie],I$2)</f>
        <v>0</v>
      </c>
      <c r="J161" s="476">
        <f ca="1">SUMIFS(Inventarisatie[Oppervlakte],Inventarisatie[Locatie],$BC161,Inventarisatie[Freq. Ma-Vr],$C161,Inventarisatie[Categorie],J$2)</f>
        <v>0</v>
      </c>
      <c r="K161" s="534"/>
      <c r="L161" s="316" t="b">
        <f>IF(_xlfn.XLOOKUP(BC161,Tabel2[Locatiecode],Tabel2[Type locatie],"",0)="vaccin",TRUE,FALSE)</f>
        <v>0</v>
      </c>
      <c r="BB161" s="9">
        <v>159</v>
      </c>
      <c r="BC161" s="9" t="str">
        <v>OBD-LMS</v>
      </c>
      <c r="BD161" s="9" t="str">
        <f t="shared" ca="1" si="2"/>
        <v/>
      </c>
    </row>
    <row r="162" spans="1:56" ht="0.2" customHeight="1" x14ac:dyDescent="0.2">
      <c r="A162" s="172" cm="1">
        <f t="array" aca="1" ref="A162" ca="1">_xlfn.IFS(SUM(D162:J162)&gt;0,1,OFFSET($K162,-MOD(BB162+4,5),0)=0,2,TRUE,0)</f>
        <v>2</v>
      </c>
      <c r="B162" s="532"/>
      <c r="C162" s="473">
        <v>104</v>
      </c>
      <c r="D162" s="474">
        <f ca="1">SUMIFS(Inventarisatie[Oppervlakte],Inventarisatie[Locatie],$BC162,Inventarisatie[Freq. Ma-Vr],$C162,Inventarisatie[Categorie],D$2)</f>
        <v>0</v>
      </c>
      <c r="E162" s="475">
        <f ca="1">SUMIFS(Inventarisatie[Oppervlakte],Inventarisatie[Locatie],$BC162,Inventarisatie[Freq. Ma-Vr],$C162,Inventarisatie[Categorie],E$2)</f>
        <v>0</v>
      </c>
      <c r="F162" s="475">
        <f ca="1">SUMIFS(Inventarisatie[Oppervlakte],Inventarisatie[Locatie],$BC162,Inventarisatie[Freq. Ma-Vr],$C162,Inventarisatie[Categorie],F$2)</f>
        <v>0</v>
      </c>
      <c r="G162" s="475">
        <f ca="1">SUMIFS(Inventarisatie[Oppervlakte],Inventarisatie[Locatie],$BC162,Inventarisatie[Freq. Ma-Vr],$C162,Inventarisatie[Categorie],G$2)</f>
        <v>0</v>
      </c>
      <c r="H162" s="475">
        <f ca="1">SUMIFS(Inventarisatie[Oppervlakte],Inventarisatie[Locatie],$BC162,Inventarisatie[Freq. Ma-Vr],$C162,Inventarisatie[Categorie],H$2)</f>
        <v>0</v>
      </c>
      <c r="I162" s="476">
        <f ca="1">SUMIFS(Inventarisatie[Oppervlakte],Inventarisatie[Locatie],$BC162,Inventarisatie[Freq. Ma-Vr],$C162,Inventarisatie[Categorie],I$2)</f>
        <v>0</v>
      </c>
      <c r="J162" s="476">
        <f ca="1">SUMIFS(Inventarisatie[Oppervlakte],Inventarisatie[Locatie],$BC162,Inventarisatie[Freq. Ma-Vr],$C162,Inventarisatie[Categorie],J$2)</f>
        <v>0</v>
      </c>
      <c r="K162" s="534"/>
      <c r="L162" s="316" t="b">
        <f>IF(_xlfn.XLOOKUP(BC162,Tabel2[Locatiecode],Tabel2[Type locatie],"",0)="vaccin",TRUE,FALSE)</f>
        <v>0</v>
      </c>
      <c r="BB162" s="9">
        <v>160</v>
      </c>
      <c r="BC162" s="9" t="str">
        <v>OBD-LMS</v>
      </c>
      <c r="BD162" s="9" t="str">
        <f t="shared" ca="1" si="2"/>
        <v/>
      </c>
    </row>
    <row r="163" spans="1:56" ht="0.2" customHeight="1" x14ac:dyDescent="0.2">
      <c r="A163" s="172" cm="1">
        <f t="array" aca="1" ref="A163" ca="1">_xlfn.IFS(SUM(D163:J163)&gt;0,1,OFFSET($K163,-MOD(BB163+4,5),0)=0,2,TRUE,0)</f>
        <v>2</v>
      </c>
      <c r="B163" s="532"/>
      <c r="C163" s="473">
        <v>52</v>
      </c>
      <c r="D163" s="474">
        <f ca="1">SUMIFS(Inventarisatie[Oppervlakte],Inventarisatie[Locatie],$BC163,Inventarisatie[Freq. Ma-Vr],$C163,Inventarisatie[Categorie],D$2)</f>
        <v>0</v>
      </c>
      <c r="E163" s="475">
        <f ca="1">SUMIFS(Inventarisatie[Oppervlakte],Inventarisatie[Locatie],$BC163,Inventarisatie[Freq. Ma-Vr],$C163,Inventarisatie[Categorie],E$2)</f>
        <v>0</v>
      </c>
      <c r="F163" s="475">
        <f ca="1">SUMIFS(Inventarisatie[Oppervlakte],Inventarisatie[Locatie],$BC163,Inventarisatie[Freq. Ma-Vr],$C163,Inventarisatie[Categorie],F$2)</f>
        <v>0</v>
      </c>
      <c r="G163" s="475">
        <f ca="1">SUMIFS(Inventarisatie[Oppervlakte],Inventarisatie[Locatie],$BC163,Inventarisatie[Freq. Ma-Vr],$C163,Inventarisatie[Categorie],G$2)</f>
        <v>0</v>
      </c>
      <c r="H163" s="475">
        <f ca="1">SUMIFS(Inventarisatie[Oppervlakte],Inventarisatie[Locatie],$BC163,Inventarisatie[Freq. Ma-Vr],$C163,Inventarisatie[Categorie],H$2)</f>
        <v>0</v>
      </c>
      <c r="I163" s="476">
        <f ca="1">SUMIFS(Inventarisatie[Oppervlakte],Inventarisatie[Locatie],$BC163,Inventarisatie[Freq. Ma-Vr],$C163,Inventarisatie[Categorie],I$2)</f>
        <v>0</v>
      </c>
      <c r="J163" s="476">
        <f ca="1">SUMIFS(Inventarisatie[Oppervlakte],Inventarisatie[Locatie],$BC163,Inventarisatie[Freq. Ma-Vr],$C163,Inventarisatie[Categorie],J$2)</f>
        <v>0</v>
      </c>
      <c r="K163" s="534"/>
      <c r="L163" s="316" t="b">
        <f>IF(_xlfn.XLOOKUP(BC163,Tabel2[Locatiecode],Tabel2[Type locatie],"",0)="vaccin",TRUE,FALSE)</f>
        <v>0</v>
      </c>
      <c r="BB163" s="9">
        <v>161</v>
      </c>
      <c r="BC163" s="9" t="str">
        <v>OBD-LMS</v>
      </c>
      <c r="BD163" s="9" t="str">
        <f t="shared" ca="1" si="2"/>
        <v/>
      </c>
    </row>
    <row r="164" spans="1:56" ht="0.2" customHeight="1" x14ac:dyDescent="0.2">
      <c r="A164" s="172" cm="1">
        <f t="array" aca="1" ref="A164" ca="1">_xlfn.IFS(SUM(D164:J164)&gt;0,1,OFFSET($K164,-MOD(BB164+4,5),0)=0,2,TRUE,0)</f>
        <v>2</v>
      </c>
      <c r="B164" s="532"/>
      <c r="C164" s="473">
        <v>4</v>
      </c>
      <c r="D164" s="474">
        <f ca="1">SUMIFS(Inventarisatie[Oppervlakte],Inventarisatie[Locatie],$BC164,Inventarisatie[Freq. Ma-Vr],$C164,Inventarisatie[Categorie],D$2)</f>
        <v>0</v>
      </c>
      <c r="E164" s="475">
        <f ca="1">SUMIFS(Inventarisatie[Oppervlakte],Inventarisatie[Locatie],$BC164,Inventarisatie[Freq. Ma-Vr],$C164,Inventarisatie[Categorie],E$2)</f>
        <v>0</v>
      </c>
      <c r="F164" s="475">
        <f ca="1">SUMIFS(Inventarisatie[Oppervlakte],Inventarisatie[Locatie],$BC164,Inventarisatie[Freq. Ma-Vr],$C164,Inventarisatie[Categorie],F$2)</f>
        <v>0</v>
      </c>
      <c r="G164" s="475">
        <f ca="1">SUMIFS(Inventarisatie[Oppervlakte],Inventarisatie[Locatie],$BC164,Inventarisatie[Freq. Ma-Vr],$C164,Inventarisatie[Categorie],G$2)</f>
        <v>0</v>
      </c>
      <c r="H164" s="475">
        <f ca="1">SUMIFS(Inventarisatie[Oppervlakte],Inventarisatie[Locatie],$BC164,Inventarisatie[Freq. Ma-Vr],$C164,Inventarisatie[Categorie],H$2)</f>
        <v>0</v>
      </c>
      <c r="I164" s="476">
        <f ca="1">SUMIFS(Inventarisatie[Oppervlakte],Inventarisatie[Locatie],$BC164,Inventarisatie[Freq. Ma-Vr],$C164,Inventarisatie[Categorie],I$2)</f>
        <v>0</v>
      </c>
      <c r="J164" s="476">
        <f ca="1">SUMIFS(Inventarisatie[Oppervlakte],Inventarisatie[Locatie],$BC164,Inventarisatie[Freq. Ma-Vr],$C164,Inventarisatie[Categorie],J$2)</f>
        <v>0</v>
      </c>
      <c r="K164" s="534"/>
      <c r="L164" s="316" t="b">
        <f>IF(_xlfn.XLOOKUP(BC164,Tabel2[Locatiecode],Tabel2[Type locatie],"",0)="vaccin",TRUE,FALSE)</f>
        <v>0</v>
      </c>
      <c r="BB164" s="9">
        <v>162</v>
      </c>
      <c r="BC164" s="9" t="str">
        <v>OBD-LMS</v>
      </c>
      <c r="BD164" s="9" t="str">
        <f t="shared" ca="1" si="2"/>
        <v/>
      </c>
    </row>
    <row r="165" spans="1:56" ht="15" customHeight="1" x14ac:dyDescent="0.2">
      <c r="A165" s="172" cm="1">
        <f t="array" aca="1" ref="A165" ca="1">_xlfn.IFS(SUM(D165:J165)&gt;0,1,OFFSET($K165,-MOD(BB165+4,5),0)=0,2,TRUE,0)</f>
        <v>1</v>
      </c>
      <c r="B165" s="532" t="str">
        <f>BC165</f>
        <v>SCH-ZDW</v>
      </c>
      <c r="C165" s="473">
        <v>255</v>
      </c>
      <c r="D165" s="474">
        <f ca="1">SUMIFS(Inventarisatie[Oppervlakte],Inventarisatie[Locatie],$BC165,Inventarisatie[Freq. Ma-Vr],$C165,Inventarisatie[Categorie],D$2)</f>
        <v>59.9</v>
      </c>
      <c r="E165" s="475">
        <f ca="1">SUMIFS(Inventarisatie[Oppervlakte],Inventarisatie[Locatie],$BC165,Inventarisatie[Freq. Ma-Vr],$C165,Inventarisatie[Categorie],E$2)</f>
        <v>87.8</v>
      </c>
      <c r="F165" s="475">
        <f ca="1">SUMIFS(Inventarisatie[Oppervlakte],Inventarisatie[Locatie],$BC165,Inventarisatie[Freq. Ma-Vr],$C165,Inventarisatie[Categorie],F$2)</f>
        <v>265.00000000000006</v>
      </c>
      <c r="G165" s="475">
        <f ca="1">SUMIFS(Inventarisatie[Oppervlakte],Inventarisatie[Locatie],$BC165,Inventarisatie[Freq. Ma-Vr],$C165,Inventarisatie[Categorie],G$2)</f>
        <v>12.6</v>
      </c>
      <c r="H165" s="475">
        <f ca="1">SUMIFS(Inventarisatie[Oppervlakte],Inventarisatie[Locatie],$BC165,Inventarisatie[Freq. Ma-Vr],$C165,Inventarisatie[Categorie],H$2)</f>
        <v>2.6</v>
      </c>
      <c r="I165" s="476">
        <f ca="1">SUMIFS(Inventarisatie[Oppervlakte],Inventarisatie[Locatie],$BC165,Inventarisatie[Freq. Ma-Vr],$C165,Inventarisatie[Categorie],I$2)</f>
        <v>72.5</v>
      </c>
      <c r="J165" s="476">
        <f ca="1">SUMIFS(Inventarisatie[Oppervlakte],Inventarisatie[Locatie],$BC165,Inventarisatie[Freq. Ma-Vr],$C165,Inventarisatie[Categorie],J$2)</f>
        <v>0</v>
      </c>
      <c r="K165" s="533">
        <f ca="1">SUM(D165:J170)</f>
        <v>500.40000000000009</v>
      </c>
      <c r="L165" s="316" t="b">
        <f>IF(_xlfn.XLOOKUP(BC165,Tabel2[Locatiecode],Tabel2[Type locatie],"",0)="vaccin",TRUE,FALSE)</f>
        <v>0</v>
      </c>
      <c r="BB165" s="9">
        <v>163</v>
      </c>
      <c r="BC165" s="9" t="str">
        <v>SCH-ZDW</v>
      </c>
      <c r="BD165" s="9">
        <f t="shared" ca="1" si="2"/>
        <v>255</v>
      </c>
    </row>
    <row r="166" spans="1:56" ht="0.2" customHeight="1" x14ac:dyDescent="0.2">
      <c r="A166" s="172" cm="1">
        <f t="array" aca="1" ref="A166" ca="1">_xlfn.IFS(SUM(D166:J166)&gt;0,1,OFFSET($K166,-MOD(BB166+4,5),0)=0,2,TRUE,0)</f>
        <v>2</v>
      </c>
      <c r="B166" s="532"/>
      <c r="C166" s="473">
        <v>204</v>
      </c>
      <c r="D166" s="474">
        <f ca="1">SUMIFS(Inventarisatie[Oppervlakte],Inventarisatie[Locatie],$BC166,Inventarisatie[Freq. Ma-Vr],$C166,Inventarisatie[Categorie],D$2)</f>
        <v>0</v>
      </c>
      <c r="E166" s="475">
        <f ca="1">SUMIFS(Inventarisatie[Oppervlakte],Inventarisatie[Locatie],$BC166,Inventarisatie[Freq. Ma-Vr],$C166,Inventarisatie[Categorie],E$2)</f>
        <v>0</v>
      </c>
      <c r="F166" s="475">
        <f ca="1">SUMIFS(Inventarisatie[Oppervlakte],Inventarisatie[Locatie],$BC166,Inventarisatie[Freq. Ma-Vr],$C166,Inventarisatie[Categorie],F$2)</f>
        <v>0</v>
      </c>
      <c r="G166" s="475">
        <f ca="1">SUMIFS(Inventarisatie[Oppervlakte],Inventarisatie[Locatie],$BC166,Inventarisatie[Freq. Ma-Vr],$C166,Inventarisatie[Categorie],G$2)</f>
        <v>0</v>
      </c>
      <c r="H166" s="475">
        <f ca="1">SUMIFS(Inventarisatie[Oppervlakte],Inventarisatie[Locatie],$BC166,Inventarisatie[Freq. Ma-Vr],$C166,Inventarisatie[Categorie],H$2)</f>
        <v>0</v>
      </c>
      <c r="I166" s="476">
        <f ca="1">SUMIFS(Inventarisatie[Oppervlakte],Inventarisatie[Locatie],$BC166,Inventarisatie[Freq. Ma-Vr],$C166,Inventarisatie[Categorie],I$2)</f>
        <v>0</v>
      </c>
      <c r="J166" s="476">
        <f ca="1">SUMIFS(Inventarisatie[Oppervlakte],Inventarisatie[Locatie],$BC166,Inventarisatie[Freq. Ma-Vr],$C166,Inventarisatie[Categorie],J$2)</f>
        <v>0</v>
      </c>
      <c r="K166" s="533"/>
      <c r="L166" s="316" t="b">
        <f>IF(_xlfn.XLOOKUP(BC166,Tabel2[Locatiecode],Tabel2[Type locatie],"",0)="vaccin",TRUE,FALSE)</f>
        <v>0</v>
      </c>
      <c r="BB166" s="9">
        <v>164</v>
      </c>
      <c r="BC166" s="9" t="str">
        <v>SCH-ZDW</v>
      </c>
      <c r="BD166" s="9" t="str">
        <f t="shared" ca="1" si="2"/>
        <v/>
      </c>
    </row>
    <row r="167" spans="1:56" ht="0.2" customHeight="1" x14ac:dyDescent="0.2">
      <c r="A167" s="172" cm="1">
        <f t="array" aca="1" ref="A167" ca="1">_xlfn.IFS(SUM(D167:J167)&gt;0,1,OFFSET($K167,-MOD(BB167+4,5),0)=0,2,TRUE,0)</f>
        <v>2</v>
      </c>
      <c r="B167" s="532"/>
      <c r="C167" s="473">
        <v>156</v>
      </c>
      <c r="D167" s="474">
        <f ca="1">SUMIFS(Inventarisatie[Oppervlakte],Inventarisatie[Locatie],$BC167,Inventarisatie[Freq. Ma-Vr],$C167,Inventarisatie[Categorie],D$2)</f>
        <v>0</v>
      </c>
      <c r="E167" s="475">
        <f ca="1">SUMIFS(Inventarisatie[Oppervlakte],Inventarisatie[Locatie],$BC167,Inventarisatie[Freq. Ma-Vr],$C167,Inventarisatie[Categorie],E$2)</f>
        <v>0</v>
      </c>
      <c r="F167" s="475">
        <f ca="1">SUMIFS(Inventarisatie[Oppervlakte],Inventarisatie[Locatie],$BC167,Inventarisatie[Freq. Ma-Vr],$C167,Inventarisatie[Categorie],F$2)</f>
        <v>0</v>
      </c>
      <c r="G167" s="475">
        <f ca="1">SUMIFS(Inventarisatie[Oppervlakte],Inventarisatie[Locatie],$BC167,Inventarisatie[Freq. Ma-Vr],$C167,Inventarisatie[Categorie],G$2)</f>
        <v>0</v>
      </c>
      <c r="H167" s="475">
        <f ca="1">SUMIFS(Inventarisatie[Oppervlakte],Inventarisatie[Locatie],$BC167,Inventarisatie[Freq. Ma-Vr],$C167,Inventarisatie[Categorie],H$2)</f>
        <v>0</v>
      </c>
      <c r="I167" s="476">
        <f ca="1">SUMIFS(Inventarisatie[Oppervlakte],Inventarisatie[Locatie],$BC167,Inventarisatie[Freq. Ma-Vr],$C167,Inventarisatie[Categorie],I$2)</f>
        <v>0</v>
      </c>
      <c r="J167" s="476">
        <f ca="1">SUMIFS(Inventarisatie[Oppervlakte],Inventarisatie[Locatie],$BC167,Inventarisatie[Freq. Ma-Vr],$C167,Inventarisatie[Categorie],J$2)</f>
        <v>0</v>
      </c>
      <c r="K167" s="534"/>
      <c r="L167" s="316" t="b">
        <f>IF(_xlfn.XLOOKUP(BC167,Tabel2[Locatiecode],Tabel2[Type locatie],"",0)="vaccin",TRUE,FALSE)</f>
        <v>0</v>
      </c>
      <c r="BB167" s="9">
        <v>165</v>
      </c>
      <c r="BC167" s="9" t="str">
        <v>SCH-ZDW</v>
      </c>
      <c r="BD167" s="9" t="str">
        <f t="shared" ca="1" si="2"/>
        <v/>
      </c>
    </row>
    <row r="168" spans="1:56" ht="0.2" customHeight="1" x14ac:dyDescent="0.2">
      <c r="A168" s="172" cm="1">
        <f t="array" aca="1" ref="A168" ca="1">_xlfn.IFS(SUM(D168:J168)&gt;0,1,OFFSET($K168,-MOD(BB168+4,5),0)=0,2,TRUE,0)</f>
        <v>2</v>
      </c>
      <c r="B168" s="532"/>
      <c r="C168" s="473">
        <v>104</v>
      </c>
      <c r="D168" s="474">
        <f ca="1">SUMIFS(Inventarisatie[Oppervlakte],Inventarisatie[Locatie],$BC168,Inventarisatie[Freq. Ma-Vr],$C168,Inventarisatie[Categorie],D$2)</f>
        <v>0</v>
      </c>
      <c r="E168" s="475">
        <f ca="1">SUMIFS(Inventarisatie[Oppervlakte],Inventarisatie[Locatie],$BC168,Inventarisatie[Freq. Ma-Vr],$C168,Inventarisatie[Categorie],E$2)</f>
        <v>0</v>
      </c>
      <c r="F168" s="475">
        <f ca="1">SUMIFS(Inventarisatie[Oppervlakte],Inventarisatie[Locatie],$BC168,Inventarisatie[Freq. Ma-Vr],$C168,Inventarisatie[Categorie],F$2)</f>
        <v>0</v>
      </c>
      <c r="G168" s="475">
        <f ca="1">SUMIFS(Inventarisatie[Oppervlakte],Inventarisatie[Locatie],$BC168,Inventarisatie[Freq. Ma-Vr],$C168,Inventarisatie[Categorie],G$2)</f>
        <v>0</v>
      </c>
      <c r="H168" s="475">
        <f ca="1">SUMIFS(Inventarisatie[Oppervlakte],Inventarisatie[Locatie],$BC168,Inventarisatie[Freq. Ma-Vr],$C168,Inventarisatie[Categorie],H$2)</f>
        <v>0</v>
      </c>
      <c r="I168" s="476">
        <f ca="1">SUMIFS(Inventarisatie[Oppervlakte],Inventarisatie[Locatie],$BC168,Inventarisatie[Freq. Ma-Vr],$C168,Inventarisatie[Categorie],I$2)</f>
        <v>0</v>
      </c>
      <c r="J168" s="476">
        <f ca="1">SUMIFS(Inventarisatie[Oppervlakte],Inventarisatie[Locatie],$BC168,Inventarisatie[Freq. Ma-Vr],$C168,Inventarisatie[Categorie],J$2)</f>
        <v>0</v>
      </c>
      <c r="K168" s="534"/>
      <c r="L168" s="316" t="b">
        <f>IF(_xlfn.XLOOKUP(BC168,Tabel2[Locatiecode],Tabel2[Type locatie],"",0)="vaccin",TRUE,FALSE)</f>
        <v>0</v>
      </c>
      <c r="BB168" s="9">
        <v>166</v>
      </c>
      <c r="BC168" s="9" t="str">
        <v>SCH-ZDW</v>
      </c>
      <c r="BD168" s="9" t="str">
        <f t="shared" ca="1" si="2"/>
        <v/>
      </c>
    </row>
    <row r="169" spans="1:56" ht="0.2" customHeight="1" x14ac:dyDescent="0.2">
      <c r="A169" s="172" cm="1">
        <f t="array" aca="1" ref="A169" ca="1">_xlfn.IFS(SUM(D169:J169)&gt;0,1,OFFSET($K169,-MOD(BB169+4,5),0)=0,2,TRUE,0)</f>
        <v>2</v>
      </c>
      <c r="B169" s="532"/>
      <c r="C169" s="473">
        <v>52</v>
      </c>
      <c r="D169" s="474">
        <f ca="1">SUMIFS(Inventarisatie[Oppervlakte],Inventarisatie[Locatie],$BC169,Inventarisatie[Freq. Ma-Vr],$C169,Inventarisatie[Categorie],D$2)</f>
        <v>0</v>
      </c>
      <c r="E169" s="475">
        <f ca="1">SUMIFS(Inventarisatie[Oppervlakte],Inventarisatie[Locatie],$BC169,Inventarisatie[Freq. Ma-Vr],$C169,Inventarisatie[Categorie],E$2)</f>
        <v>0</v>
      </c>
      <c r="F169" s="475">
        <f ca="1">SUMIFS(Inventarisatie[Oppervlakte],Inventarisatie[Locatie],$BC169,Inventarisatie[Freq. Ma-Vr],$C169,Inventarisatie[Categorie],F$2)</f>
        <v>0</v>
      </c>
      <c r="G169" s="475">
        <f ca="1">SUMIFS(Inventarisatie[Oppervlakte],Inventarisatie[Locatie],$BC169,Inventarisatie[Freq. Ma-Vr],$C169,Inventarisatie[Categorie],G$2)</f>
        <v>0</v>
      </c>
      <c r="H169" s="475">
        <f ca="1">SUMIFS(Inventarisatie[Oppervlakte],Inventarisatie[Locatie],$BC169,Inventarisatie[Freq. Ma-Vr],$C169,Inventarisatie[Categorie],H$2)</f>
        <v>0</v>
      </c>
      <c r="I169" s="476">
        <f ca="1">SUMIFS(Inventarisatie[Oppervlakte],Inventarisatie[Locatie],$BC169,Inventarisatie[Freq. Ma-Vr],$C169,Inventarisatie[Categorie],I$2)</f>
        <v>0</v>
      </c>
      <c r="J169" s="476">
        <f ca="1">SUMIFS(Inventarisatie[Oppervlakte],Inventarisatie[Locatie],$BC169,Inventarisatie[Freq. Ma-Vr],$C169,Inventarisatie[Categorie],J$2)</f>
        <v>0</v>
      </c>
      <c r="K169" s="534"/>
      <c r="L169" s="316" t="b">
        <f>IF(_xlfn.XLOOKUP(BC169,Tabel2[Locatiecode],Tabel2[Type locatie],"",0)="vaccin",TRUE,FALSE)</f>
        <v>0</v>
      </c>
      <c r="BB169" s="9">
        <v>167</v>
      </c>
      <c r="BC169" s="9" t="str">
        <v>SCH-ZDW</v>
      </c>
      <c r="BD169" s="9" t="str">
        <f t="shared" ca="1" si="2"/>
        <v/>
      </c>
    </row>
    <row r="170" spans="1:56" ht="0.2" customHeight="1" x14ac:dyDescent="0.2">
      <c r="A170" s="172" cm="1">
        <f t="array" aca="1" ref="A170" ca="1">_xlfn.IFS(SUM(D170:J170)&gt;0,1,OFFSET($K170,-MOD(BB170+4,5),0)=0,2,TRUE,0)</f>
        <v>2</v>
      </c>
      <c r="B170" s="532"/>
      <c r="C170" s="473">
        <v>4</v>
      </c>
      <c r="D170" s="474">
        <f ca="1">SUMIFS(Inventarisatie[Oppervlakte],Inventarisatie[Locatie],$BC170,Inventarisatie[Freq. Ma-Vr],$C170,Inventarisatie[Categorie],D$2)</f>
        <v>0</v>
      </c>
      <c r="E170" s="475">
        <f ca="1">SUMIFS(Inventarisatie[Oppervlakte],Inventarisatie[Locatie],$BC170,Inventarisatie[Freq. Ma-Vr],$C170,Inventarisatie[Categorie],E$2)</f>
        <v>0</v>
      </c>
      <c r="F170" s="475">
        <f ca="1">SUMIFS(Inventarisatie[Oppervlakte],Inventarisatie[Locatie],$BC170,Inventarisatie[Freq. Ma-Vr],$C170,Inventarisatie[Categorie],F$2)</f>
        <v>0</v>
      </c>
      <c r="G170" s="475">
        <f ca="1">SUMIFS(Inventarisatie[Oppervlakte],Inventarisatie[Locatie],$BC170,Inventarisatie[Freq. Ma-Vr],$C170,Inventarisatie[Categorie],G$2)</f>
        <v>0</v>
      </c>
      <c r="H170" s="475">
        <f ca="1">SUMIFS(Inventarisatie[Oppervlakte],Inventarisatie[Locatie],$BC170,Inventarisatie[Freq. Ma-Vr],$C170,Inventarisatie[Categorie],H$2)</f>
        <v>0</v>
      </c>
      <c r="I170" s="476">
        <f ca="1">SUMIFS(Inventarisatie[Oppervlakte],Inventarisatie[Locatie],$BC170,Inventarisatie[Freq. Ma-Vr],$C170,Inventarisatie[Categorie],I$2)</f>
        <v>0</v>
      </c>
      <c r="J170" s="476">
        <f ca="1">SUMIFS(Inventarisatie[Oppervlakte],Inventarisatie[Locatie],$BC170,Inventarisatie[Freq. Ma-Vr],$C170,Inventarisatie[Categorie],J$2)</f>
        <v>0</v>
      </c>
      <c r="K170" s="534"/>
      <c r="L170" s="316" t="b">
        <f>IF(_xlfn.XLOOKUP(BC170,Tabel2[Locatiecode],Tabel2[Type locatie],"",0)="vaccin",TRUE,FALSE)</f>
        <v>0</v>
      </c>
      <c r="BB170" s="9">
        <v>168</v>
      </c>
      <c r="BC170" s="9" t="str">
        <v>SCH-ZDW</v>
      </c>
      <c r="BD170" s="9" t="str">
        <f t="shared" ca="1" si="2"/>
        <v/>
      </c>
    </row>
    <row r="171" spans="1:56" ht="15" customHeight="1" x14ac:dyDescent="0.2">
      <c r="A171" s="172" cm="1">
        <f t="array" aca="1" ref="A171" ca="1">_xlfn.IFS(SUM(D171:J171)&gt;0,1,OFFSET($K171,-MOD(BB171+4,5),0)=0,2,TRUE,0)</f>
        <v>1</v>
      </c>
      <c r="B171" s="532" t="str">
        <f>BC171</f>
        <v>SPB-PMS</v>
      </c>
      <c r="C171" s="473">
        <v>255</v>
      </c>
      <c r="D171" s="474">
        <f ca="1">SUMIFS(Inventarisatie[Oppervlakte],Inventarisatie[Locatie],$BC171,Inventarisatie[Freq. Ma-Vr],$C171,Inventarisatie[Categorie],D$2)</f>
        <v>19.5</v>
      </c>
      <c r="E171" s="475">
        <f ca="1">SUMIFS(Inventarisatie[Oppervlakte],Inventarisatie[Locatie],$BC171,Inventarisatie[Freq. Ma-Vr],$C171,Inventarisatie[Categorie],E$2)</f>
        <v>0</v>
      </c>
      <c r="F171" s="475">
        <f ca="1">SUMIFS(Inventarisatie[Oppervlakte],Inventarisatie[Locatie],$BC171,Inventarisatie[Freq. Ma-Vr],$C171,Inventarisatie[Categorie],F$2)</f>
        <v>30.9</v>
      </c>
      <c r="G171" s="475">
        <f ca="1">SUMIFS(Inventarisatie[Oppervlakte],Inventarisatie[Locatie],$BC171,Inventarisatie[Freq. Ma-Vr],$C171,Inventarisatie[Categorie],G$2)</f>
        <v>0</v>
      </c>
      <c r="H171" s="475">
        <f ca="1">SUMIFS(Inventarisatie[Oppervlakte],Inventarisatie[Locatie],$BC171,Inventarisatie[Freq. Ma-Vr],$C171,Inventarisatie[Categorie],H$2)</f>
        <v>1.4</v>
      </c>
      <c r="I171" s="476">
        <f ca="1">SUMIFS(Inventarisatie[Oppervlakte],Inventarisatie[Locatie],$BC171,Inventarisatie[Freq. Ma-Vr],$C171,Inventarisatie[Categorie],I$2)</f>
        <v>14.1</v>
      </c>
      <c r="J171" s="476">
        <f ca="1">SUMIFS(Inventarisatie[Oppervlakte],Inventarisatie[Locatie],$BC171,Inventarisatie[Freq. Ma-Vr],$C171,Inventarisatie[Categorie],J$2)</f>
        <v>0</v>
      </c>
      <c r="K171" s="533">
        <f ca="1">SUM(D171:J176)</f>
        <v>65.899999999999991</v>
      </c>
      <c r="L171" s="316" t="b">
        <f>IF(_xlfn.XLOOKUP(BC171,Tabel2[Locatiecode],Tabel2[Type locatie],"",0)="vaccin",TRUE,FALSE)</f>
        <v>0</v>
      </c>
      <c r="BB171" s="9">
        <v>169</v>
      </c>
      <c r="BC171" s="9" t="str">
        <v>SPB-PMS</v>
      </c>
      <c r="BD171" s="9">
        <f t="shared" ca="1" si="2"/>
        <v>255</v>
      </c>
    </row>
    <row r="172" spans="1:56" ht="0.2" customHeight="1" x14ac:dyDescent="0.2">
      <c r="A172" s="172" cm="1">
        <f t="array" aca="1" ref="A172" ca="1">_xlfn.IFS(SUM(D172:J172)&gt;0,1,OFFSET($K172,-MOD(BB172+4,5),0)=0,2,TRUE,0)</f>
        <v>2</v>
      </c>
      <c r="B172" s="532"/>
      <c r="C172" s="473">
        <v>204</v>
      </c>
      <c r="D172" s="474">
        <f ca="1">SUMIFS(Inventarisatie[Oppervlakte],Inventarisatie[Locatie],$BC172,Inventarisatie[Freq. Ma-Vr],$C172,Inventarisatie[Categorie],D$2)</f>
        <v>0</v>
      </c>
      <c r="E172" s="475">
        <f ca="1">SUMIFS(Inventarisatie[Oppervlakte],Inventarisatie[Locatie],$BC172,Inventarisatie[Freq. Ma-Vr],$C172,Inventarisatie[Categorie],E$2)</f>
        <v>0</v>
      </c>
      <c r="F172" s="475">
        <f ca="1">SUMIFS(Inventarisatie[Oppervlakte],Inventarisatie[Locatie],$BC172,Inventarisatie[Freq. Ma-Vr],$C172,Inventarisatie[Categorie],F$2)</f>
        <v>0</v>
      </c>
      <c r="G172" s="475">
        <f ca="1">SUMIFS(Inventarisatie[Oppervlakte],Inventarisatie[Locatie],$BC172,Inventarisatie[Freq. Ma-Vr],$C172,Inventarisatie[Categorie],G$2)</f>
        <v>0</v>
      </c>
      <c r="H172" s="475">
        <f ca="1">SUMIFS(Inventarisatie[Oppervlakte],Inventarisatie[Locatie],$BC172,Inventarisatie[Freq. Ma-Vr],$C172,Inventarisatie[Categorie],H$2)</f>
        <v>0</v>
      </c>
      <c r="I172" s="476">
        <f ca="1">SUMIFS(Inventarisatie[Oppervlakte],Inventarisatie[Locatie],$BC172,Inventarisatie[Freq. Ma-Vr],$C172,Inventarisatie[Categorie],I$2)</f>
        <v>0</v>
      </c>
      <c r="J172" s="476">
        <f ca="1">SUMIFS(Inventarisatie[Oppervlakte],Inventarisatie[Locatie],$BC172,Inventarisatie[Freq. Ma-Vr],$C172,Inventarisatie[Categorie],J$2)</f>
        <v>0</v>
      </c>
      <c r="K172" s="533"/>
      <c r="L172" s="316" t="b">
        <f>IF(_xlfn.XLOOKUP(BC172,Tabel2[Locatiecode],Tabel2[Type locatie],"",0)="vaccin",TRUE,FALSE)</f>
        <v>0</v>
      </c>
      <c r="BB172" s="9">
        <v>170</v>
      </c>
      <c r="BC172" s="9" t="str">
        <v>SPB-PMS</v>
      </c>
      <c r="BD172" s="9" t="str">
        <f t="shared" ca="1" si="2"/>
        <v/>
      </c>
    </row>
    <row r="173" spans="1:56" ht="0.2" customHeight="1" x14ac:dyDescent="0.2">
      <c r="A173" s="172" cm="1">
        <f t="array" aca="1" ref="A173" ca="1">_xlfn.IFS(SUM(D173:J173)&gt;0,1,OFFSET($K173,-MOD(BB173+4,5),0)=0,2,TRUE,0)</f>
        <v>2</v>
      </c>
      <c r="B173" s="532"/>
      <c r="C173" s="473">
        <v>156</v>
      </c>
      <c r="D173" s="474">
        <f ca="1">SUMIFS(Inventarisatie[Oppervlakte],Inventarisatie[Locatie],$BC173,Inventarisatie[Freq. Ma-Vr],$C173,Inventarisatie[Categorie],D$2)</f>
        <v>0</v>
      </c>
      <c r="E173" s="475">
        <f ca="1">SUMIFS(Inventarisatie[Oppervlakte],Inventarisatie[Locatie],$BC173,Inventarisatie[Freq. Ma-Vr],$C173,Inventarisatie[Categorie],E$2)</f>
        <v>0</v>
      </c>
      <c r="F173" s="475">
        <f ca="1">SUMIFS(Inventarisatie[Oppervlakte],Inventarisatie[Locatie],$BC173,Inventarisatie[Freq. Ma-Vr],$C173,Inventarisatie[Categorie],F$2)</f>
        <v>0</v>
      </c>
      <c r="G173" s="475">
        <f ca="1">SUMIFS(Inventarisatie[Oppervlakte],Inventarisatie[Locatie],$BC173,Inventarisatie[Freq. Ma-Vr],$C173,Inventarisatie[Categorie],G$2)</f>
        <v>0</v>
      </c>
      <c r="H173" s="475">
        <f ca="1">SUMIFS(Inventarisatie[Oppervlakte],Inventarisatie[Locatie],$BC173,Inventarisatie[Freq. Ma-Vr],$C173,Inventarisatie[Categorie],H$2)</f>
        <v>0</v>
      </c>
      <c r="I173" s="476">
        <f ca="1">SUMIFS(Inventarisatie[Oppervlakte],Inventarisatie[Locatie],$BC173,Inventarisatie[Freq. Ma-Vr],$C173,Inventarisatie[Categorie],I$2)</f>
        <v>0</v>
      </c>
      <c r="J173" s="476">
        <f ca="1">SUMIFS(Inventarisatie[Oppervlakte],Inventarisatie[Locatie],$BC173,Inventarisatie[Freq. Ma-Vr],$C173,Inventarisatie[Categorie],J$2)</f>
        <v>0</v>
      </c>
      <c r="K173" s="534"/>
      <c r="L173" s="316" t="b">
        <f>IF(_xlfn.XLOOKUP(BC173,Tabel2[Locatiecode],Tabel2[Type locatie],"",0)="vaccin",TRUE,FALSE)</f>
        <v>0</v>
      </c>
      <c r="BC173" s="9" t="str">
        <v>SPB-PMS</v>
      </c>
      <c r="BD173" s="9" t="str">
        <f t="shared" ca="1" si="2"/>
        <v/>
      </c>
    </row>
    <row r="174" spans="1:56" ht="0.2" customHeight="1" x14ac:dyDescent="0.2">
      <c r="A174" s="172" cm="1">
        <f t="array" aca="1" ref="A174" ca="1">_xlfn.IFS(SUM(D174:J174)&gt;0,1,OFFSET($K174,-MOD(BB174+4,5),0)=0,2,TRUE,0)</f>
        <v>2</v>
      </c>
      <c r="B174" s="532"/>
      <c r="C174" s="473">
        <v>104</v>
      </c>
      <c r="D174" s="474">
        <f ca="1">SUMIFS(Inventarisatie[Oppervlakte],Inventarisatie[Locatie],$BC174,Inventarisatie[Freq. Ma-Vr],$C174,Inventarisatie[Categorie],D$2)</f>
        <v>0</v>
      </c>
      <c r="E174" s="475">
        <f ca="1">SUMIFS(Inventarisatie[Oppervlakte],Inventarisatie[Locatie],$BC174,Inventarisatie[Freq. Ma-Vr],$C174,Inventarisatie[Categorie],E$2)</f>
        <v>0</v>
      </c>
      <c r="F174" s="475">
        <f ca="1">SUMIFS(Inventarisatie[Oppervlakte],Inventarisatie[Locatie],$BC174,Inventarisatie[Freq. Ma-Vr],$C174,Inventarisatie[Categorie],F$2)</f>
        <v>0</v>
      </c>
      <c r="G174" s="475">
        <f ca="1">SUMIFS(Inventarisatie[Oppervlakte],Inventarisatie[Locatie],$BC174,Inventarisatie[Freq. Ma-Vr],$C174,Inventarisatie[Categorie],G$2)</f>
        <v>0</v>
      </c>
      <c r="H174" s="475">
        <f ca="1">SUMIFS(Inventarisatie[Oppervlakte],Inventarisatie[Locatie],$BC174,Inventarisatie[Freq. Ma-Vr],$C174,Inventarisatie[Categorie],H$2)</f>
        <v>0</v>
      </c>
      <c r="I174" s="476">
        <f ca="1">SUMIFS(Inventarisatie[Oppervlakte],Inventarisatie[Locatie],$BC174,Inventarisatie[Freq. Ma-Vr],$C174,Inventarisatie[Categorie],I$2)</f>
        <v>0</v>
      </c>
      <c r="J174" s="476">
        <f ca="1">SUMIFS(Inventarisatie[Oppervlakte],Inventarisatie[Locatie],$BC174,Inventarisatie[Freq. Ma-Vr],$C174,Inventarisatie[Categorie],J$2)</f>
        <v>0</v>
      </c>
      <c r="K174" s="534"/>
      <c r="L174" s="316" t="b">
        <f>IF(_xlfn.XLOOKUP(BC174,Tabel2[Locatiecode],Tabel2[Type locatie],"",0)="vaccin",TRUE,FALSE)</f>
        <v>0</v>
      </c>
      <c r="BC174" s="9" t="str">
        <v>SPB-PMS</v>
      </c>
      <c r="BD174" s="9" t="str">
        <f t="shared" ca="1" si="2"/>
        <v/>
      </c>
    </row>
    <row r="175" spans="1:56" ht="0.2" customHeight="1" x14ac:dyDescent="0.2">
      <c r="A175" s="172" cm="1">
        <f t="array" aca="1" ref="A175" ca="1">_xlfn.IFS(SUM(D175:J175)&gt;0,1,OFFSET($K175,-MOD(BB175+4,5),0)=0,2,TRUE,0)</f>
        <v>0</v>
      </c>
      <c r="B175" s="532"/>
      <c r="C175" s="473">
        <v>52</v>
      </c>
      <c r="D175" s="474">
        <f ca="1">SUMIFS(Inventarisatie[Oppervlakte],Inventarisatie[Locatie],$BC175,Inventarisatie[Freq. Ma-Vr],$C175,Inventarisatie[Categorie],D$2)</f>
        <v>0</v>
      </c>
      <c r="E175" s="475">
        <f ca="1">SUMIFS(Inventarisatie[Oppervlakte],Inventarisatie[Locatie],$BC175,Inventarisatie[Freq. Ma-Vr],$C175,Inventarisatie[Categorie],E$2)</f>
        <v>0</v>
      </c>
      <c r="F175" s="475">
        <f ca="1">SUMIFS(Inventarisatie[Oppervlakte],Inventarisatie[Locatie],$BC175,Inventarisatie[Freq. Ma-Vr],$C175,Inventarisatie[Categorie],F$2)</f>
        <v>0</v>
      </c>
      <c r="G175" s="475">
        <f ca="1">SUMIFS(Inventarisatie[Oppervlakte],Inventarisatie[Locatie],$BC175,Inventarisatie[Freq. Ma-Vr],$C175,Inventarisatie[Categorie],G$2)</f>
        <v>0</v>
      </c>
      <c r="H175" s="475">
        <f ca="1">SUMIFS(Inventarisatie[Oppervlakte],Inventarisatie[Locatie],$BC175,Inventarisatie[Freq. Ma-Vr],$C175,Inventarisatie[Categorie],H$2)</f>
        <v>0</v>
      </c>
      <c r="I175" s="476">
        <f ca="1">SUMIFS(Inventarisatie[Oppervlakte],Inventarisatie[Locatie],$BC175,Inventarisatie[Freq. Ma-Vr],$C175,Inventarisatie[Categorie],I$2)</f>
        <v>0</v>
      </c>
      <c r="J175" s="476">
        <f ca="1">SUMIFS(Inventarisatie[Oppervlakte],Inventarisatie[Locatie],$BC175,Inventarisatie[Freq. Ma-Vr],$C175,Inventarisatie[Categorie],J$2)</f>
        <v>0</v>
      </c>
      <c r="K175" s="534"/>
      <c r="L175" s="316" t="b">
        <f>IF(_xlfn.XLOOKUP(BC175,Tabel2[Locatiecode],Tabel2[Type locatie],"",0)="vaccin",TRUE,FALSE)</f>
        <v>0</v>
      </c>
      <c r="BC175" s="9" t="str">
        <v>SPB-PMS</v>
      </c>
      <c r="BD175" s="9" t="str">
        <f t="shared" ca="1" si="2"/>
        <v/>
      </c>
    </row>
    <row r="176" spans="1:56" ht="0.2" customHeight="1" x14ac:dyDescent="0.2">
      <c r="A176" s="172" cm="1">
        <f t="array" aca="1" ref="A176" ca="1">_xlfn.IFS(SUM(D176:J176)&gt;0,1,OFFSET($K176,-MOD(BB176+4,5),0)=0,2,TRUE,0)</f>
        <v>2</v>
      </c>
      <c r="B176" s="532"/>
      <c r="C176" s="473">
        <v>4</v>
      </c>
      <c r="D176" s="474">
        <f ca="1">SUMIFS(Inventarisatie[Oppervlakte],Inventarisatie[Locatie],$BC176,Inventarisatie[Freq. Ma-Vr],$C176,Inventarisatie[Categorie],D$2)</f>
        <v>0</v>
      </c>
      <c r="E176" s="475">
        <f ca="1">SUMIFS(Inventarisatie[Oppervlakte],Inventarisatie[Locatie],$BC176,Inventarisatie[Freq. Ma-Vr],$C176,Inventarisatie[Categorie],E$2)</f>
        <v>0</v>
      </c>
      <c r="F176" s="475">
        <f ca="1">SUMIFS(Inventarisatie[Oppervlakte],Inventarisatie[Locatie],$BC176,Inventarisatie[Freq. Ma-Vr],$C176,Inventarisatie[Categorie],F$2)</f>
        <v>0</v>
      </c>
      <c r="G176" s="475">
        <f ca="1">SUMIFS(Inventarisatie[Oppervlakte],Inventarisatie[Locatie],$BC176,Inventarisatie[Freq. Ma-Vr],$C176,Inventarisatie[Categorie],G$2)</f>
        <v>0</v>
      </c>
      <c r="H176" s="475">
        <f ca="1">SUMIFS(Inventarisatie[Oppervlakte],Inventarisatie[Locatie],$BC176,Inventarisatie[Freq. Ma-Vr],$C176,Inventarisatie[Categorie],H$2)</f>
        <v>0</v>
      </c>
      <c r="I176" s="476">
        <f ca="1">SUMIFS(Inventarisatie[Oppervlakte],Inventarisatie[Locatie],$BC176,Inventarisatie[Freq. Ma-Vr],$C176,Inventarisatie[Categorie],I$2)</f>
        <v>0</v>
      </c>
      <c r="J176" s="476">
        <f ca="1">SUMIFS(Inventarisatie[Oppervlakte],Inventarisatie[Locatie],$BC176,Inventarisatie[Freq. Ma-Vr],$C176,Inventarisatie[Categorie],J$2)</f>
        <v>0</v>
      </c>
      <c r="K176" s="534"/>
      <c r="L176" s="316" t="b">
        <f>IF(_xlfn.XLOOKUP(BC176,Tabel2[Locatiecode],Tabel2[Type locatie],"",0)="vaccin",TRUE,FALSE)</f>
        <v>0</v>
      </c>
      <c r="BC176" s="9" t="str">
        <v>SPB-PMS</v>
      </c>
      <c r="BD176" s="9" t="str">
        <f t="shared" ca="1" si="2"/>
        <v/>
      </c>
    </row>
    <row r="177" spans="1:56" ht="15" customHeight="1" x14ac:dyDescent="0.2">
      <c r="A177" s="172" cm="1">
        <f t="array" aca="1" ref="A177" ca="1">_xlfn.IFS(SUM(D177:J177)&gt;0,1,OFFSET($K177,-MOD(BB177+4,5),0)=0,2,TRUE,0)</f>
        <v>1</v>
      </c>
      <c r="B177" s="527" t="str">
        <f>BC177</f>
        <v>VHU-TWV</v>
      </c>
      <c r="C177" s="208">
        <v>255</v>
      </c>
      <c r="D177" s="194">
        <f ca="1">SUMIFS(Inventarisatie[Oppervlakte],Inventarisatie[Locatie],$BC177,Inventarisatie[Freq. Ma-Vr],$C177,Inventarisatie[Categorie],D$2)</f>
        <v>36.200000000000003</v>
      </c>
      <c r="E177" s="192">
        <f ca="1">SUMIFS(Inventarisatie[Oppervlakte],Inventarisatie[Locatie],$BC177,Inventarisatie[Freq. Ma-Vr],$C177,Inventarisatie[Categorie],E$2)</f>
        <v>0</v>
      </c>
      <c r="F177" s="192">
        <f ca="1">SUMIFS(Inventarisatie[Oppervlakte],Inventarisatie[Locatie],$BC177,Inventarisatie[Freq. Ma-Vr],$C177,Inventarisatie[Categorie],F$2)</f>
        <v>34.9</v>
      </c>
      <c r="G177" s="192">
        <f ca="1">SUMIFS(Inventarisatie[Oppervlakte],Inventarisatie[Locatie],$BC177,Inventarisatie[Freq. Ma-Vr],$C177,Inventarisatie[Categorie],G$2)</f>
        <v>0</v>
      </c>
      <c r="H177" s="192">
        <f ca="1">SUMIFS(Inventarisatie[Oppervlakte],Inventarisatie[Locatie],$BC177,Inventarisatie[Freq. Ma-Vr],$C177,Inventarisatie[Categorie],H$2)</f>
        <v>0</v>
      </c>
      <c r="I177" s="472">
        <f ca="1">SUMIFS(Inventarisatie[Oppervlakte],Inventarisatie[Locatie],$BC177,Inventarisatie[Freq. Ma-Vr],$C177,Inventarisatie[Categorie],I$2)</f>
        <v>0</v>
      </c>
      <c r="J177" s="472">
        <f ca="1">SUMIFS(Inventarisatie[Oppervlakte],Inventarisatie[Locatie],$BC177,Inventarisatie[Freq. Ma-Vr],$C177,Inventarisatie[Categorie],J$2)</f>
        <v>0</v>
      </c>
      <c r="K177" s="528">
        <f ca="1">SUM(D177:J182)</f>
        <v>71.099999999999994</v>
      </c>
      <c r="L177" s="316" t="b">
        <f>IF(_xlfn.XLOOKUP(BC177,Tabel2[Locatiecode],Tabel2[Type locatie],"",0)="vaccin",TRUE,FALSE)</f>
        <v>0</v>
      </c>
      <c r="BC177" s="9" t="str">
        <v>VHU-TWV</v>
      </c>
      <c r="BD177" s="9">
        <f t="shared" ca="1" si="2"/>
        <v>255</v>
      </c>
    </row>
    <row r="178" spans="1:56" ht="0.2" customHeight="1" x14ac:dyDescent="0.2">
      <c r="A178" s="172" cm="1">
        <f t="array" aca="1" ref="A178" ca="1">_xlfn.IFS(SUM(D178:J178)&gt;0,1,OFFSET($K178,-MOD(BB178+4,5),0)=0,2,TRUE,0)</f>
        <v>2</v>
      </c>
      <c r="B178" s="527"/>
      <c r="C178" s="208">
        <v>204</v>
      </c>
      <c r="D178" s="194">
        <f ca="1">SUMIFS(Inventarisatie[Oppervlakte],Inventarisatie[Locatie],$BC178,Inventarisatie[Freq. Ma-Vr],$C178,Inventarisatie[Categorie],D$2)</f>
        <v>0</v>
      </c>
      <c r="E178" s="192">
        <f ca="1">SUMIFS(Inventarisatie[Oppervlakte],Inventarisatie[Locatie],$BC178,Inventarisatie[Freq. Ma-Vr],$C178,Inventarisatie[Categorie],E$2)</f>
        <v>0</v>
      </c>
      <c r="F178" s="192">
        <f ca="1">SUMIFS(Inventarisatie[Oppervlakte],Inventarisatie[Locatie],$BC178,Inventarisatie[Freq. Ma-Vr],$C178,Inventarisatie[Categorie],F$2)</f>
        <v>0</v>
      </c>
      <c r="G178" s="192">
        <f ca="1">SUMIFS(Inventarisatie[Oppervlakte],Inventarisatie[Locatie],$BC178,Inventarisatie[Freq. Ma-Vr],$C178,Inventarisatie[Categorie],G$2)</f>
        <v>0</v>
      </c>
      <c r="H178" s="192">
        <f ca="1">SUMIFS(Inventarisatie[Oppervlakte],Inventarisatie[Locatie],$BC178,Inventarisatie[Freq. Ma-Vr],$C178,Inventarisatie[Categorie],H$2)</f>
        <v>0</v>
      </c>
      <c r="I178" s="472">
        <f ca="1">SUMIFS(Inventarisatie[Oppervlakte],Inventarisatie[Locatie],$BC178,Inventarisatie[Freq. Ma-Vr],$C178,Inventarisatie[Categorie],I$2)</f>
        <v>0</v>
      </c>
      <c r="J178" s="472">
        <f ca="1">SUMIFS(Inventarisatie[Oppervlakte],Inventarisatie[Locatie],$BC178,Inventarisatie[Freq. Ma-Vr],$C178,Inventarisatie[Categorie],J$2)</f>
        <v>0</v>
      </c>
      <c r="K178" s="528"/>
      <c r="L178" s="316" t="b">
        <f>IF(_xlfn.XLOOKUP(BC178,Tabel2[Locatiecode],Tabel2[Type locatie],"",0)="vaccin",TRUE,FALSE)</f>
        <v>0</v>
      </c>
      <c r="BC178" s="9" t="str">
        <v>VHU-TWV</v>
      </c>
      <c r="BD178" s="9" t="str">
        <f t="shared" ca="1" si="2"/>
        <v/>
      </c>
    </row>
    <row r="179" spans="1:56" ht="0.2" customHeight="1" x14ac:dyDescent="0.2">
      <c r="A179" s="172" cm="1">
        <f t="array" aca="1" ref="A179" ca="1">_xlfn.IFS(SUM(D179:J179)&gt;0,1,OFFSET($K179,-MOD(BB179+4,5),0)=0,2,TRUE,0)</f>
        <v>2</v>
      </c>
      <c r="B179" s="527"/>
      <c r="C179" s="208">
        <v>156</v>
      </c>
      <c r="D179" s="194">
        <f ca="1">SUMIFS(Inventarisatie[Oppervlakte],Inventarisatie[Locatie],$BC179,Inventarisatie[Freq. Ma-Vr],$C179,Inventarisatie[Categorie],D$2)</f>
        <v>0</v>
      </c>
      <c r="E179" s="192">
        <f ca="1">SUMIFS(Inventarisatie[Oppervlakte],Inventarisatie[Locatie],$BC179,Inventarisatie[Freq. Ma-Vr],$C179,Inventarisatie[Categorie],E$2)</f>
        <v>0</v>
      </c>
      <c r="F179" s="192">
        <f ca="1">SUMIFS(Inventarisatie[Oppervlakte],Inventarisatie[Locatie],$BC179,Inventarisatie[Freq. Ma-Vr],$C179,Inventarisatie[Categorie],F$2)</f>
        <v>0</v>
      </c>
      <c r="G179" s="192">
        <f ca="1">SUMIFS(Inventarisatie[Oppervlakte],Inventarisatie[Locatie],$BC179,Inventarisatie[Freq. Ma-Vr],$C179,Inventarisatie[Categorie],G$2)</f>
        <v>0</v>
      </c>
      <c r="H179" s="192">
        <f ca="1">SUMIFS(Inventarisatie[Oppervlakte],Inventarisatie[Locatie],$BC179,Inventarisatie[Freq. Ma-Vr],$C179,Inventarisatie[Categorie],H$2)</f>
        <v>0</v>
      </c>
      <c r="I179" s="472">
        <f ca="1">SUMIFS(Inventarisatie[Oppervlakte],Inventarisatie[Locatie],$BC179,Inventarisatie[Freq. Ma-Vr],$C179,Inventarisatie[Categorie],I$2)</f>
        <v>0</v>
      </c>
      <c r="J179" s="472">
        <f ca="1">SUMIFS(Inventarisatie[Oppervlakte],Inventarisatie[Locatie],$BC179,Inventarisatie[Freq. Ma-Vr],$C179,Inventarisatie[Categorie],J$2)</f>
        <v>0</v>
      </c>
      <c r="K179" s="529"/>
      <c r="L179" s="316" t="b">
        <f>IF(_xlfn.XLOOKUP(BC179,Tabel2[Locatiecode],Tabel2[Type locatie],"",0)="vaccin",TRUE,FALSE)</f>
        <v>0</v>
      </c>
      <c r="BC179" s="9" t="str">
        <v>VHU-TWV</v>
      </c>
      <c r="BD179" s="9" t="str">
        <f t="shared" ca="1" si="2"/>
        <v/>
      </c>
    </row>
    <row r="180" spans="1:56" ht="0.2" customHeight="1" x14ac:dyDescent="0.2">
      <c r="A180" s="172" cm="1">
        <f t="array" aca="1" ref="A180" ca="1">_xlfn.IFS(SUM(D180:J180)&gt;0,1,OFFSET($K180,-MOD(BB180+4,5),0)=0,2,TRUE,0)</f>
        <v>2</v>
      </c>
      <c r="B180" s="527"/>
      <c r="C180" s="208">
        <v>104</v>
      </c>
      <c r="D180" s="194">
        <f ca="1">SUMIFS(Inventarisatie[Oppervlakte],Inventarisatie[Locatie],$BC180,Inventarisatie[Freq. Ma-Vr],$C180,Inventarisatie[Categorie],D$2)</f>
        <v>0</v>
      </c>
      <c r="E180" s="192">
        <f ca="1">SUMIFS(Inventarisatie[Oppervlakte],Inventarisatie[Locatie],$BC180,Inventarisatie[Freq. Ma-Vr],$C180,Inventarisatie[Categorie],E$2)</f>
        <v>0</v>
      </c>
      <c r="F180" s="192">
        <f ca="1">SUMIFS(Inventarisatie[Oppervlakte],Inventarisatie[Locatie],$BC180,Inventarisatie[Freq. Ma-Vr],$C180,Inventarisatie[Categorie],F$2)</f>
        <v>0</v>
      </c>
      <c r="G180" s="192">
        <f ca="1">SUMIFS(Inventarisatie[Oppervlakte],Inventarisatie[Locatie],$BC180,Inventarisatie[Freq. Ma-Vr],$C180,Inventarisatie[Categorie],G$2)</f>
        <v>0</v>
      </c>
      <c r="H180" s="192">
        <f ca="1">SUMIFS(Inventarisatie[Oppervlakte],Inventarisatie[Locatie],$BC180,Inventarisatie[Freq. Ma-Vr],$C180,Inventarisatie[Categorie],H$2)</f>
        <v>0</v>
      </c>
      <c r="I180" s="472">
        <f ca="1">SUMIFS(Inventarisatie[Oppervlakte],Inventarisatie[Locatie],$BC180,Inventarisatie[Freq. Ma-Vr],$C180,Inventarisatie[Categorie],I$2)</f>
        <v>0</v>
      </c>
      <c r="J180" s="472">
        <f ca="1">SUMIFS(Inventarisatie[Oppervlakte],Inventarisatie[Locatie],$BC180,Inventarisatie[Freq. Ma-Vr],$C180,Inventarisatie[Categorie],J$2)</f>
        <v>0</v>
      </c>
      <c r="K180" s="529"/>
      <c r="L180" s="316" t="b">
        <f>IF(_xlfn.XLOOKUP(BC180,Tabel2[Locatiecode],Tabel2[Type locatie],"",0)="vaccin",TRUE,FALSE)</f>
        <v>0</v>
      </c>
      <c r="BC180" s="9" t="str">
        <v>VHU-TWV</v>
      </c>
      <c r="BD180" s="9" t="str">
        <f t="shared" ca="1" si="2"/>
        <v/>
      </c>
    </row>
    <row r="181" spans="1:56" ht="0.2" customHeight="1" x14ac:dyDescent="0.2">
      <c r="A181" s="172" cm="1">
        <f t="array" aca="1" ref="A181" ca="1">_xlfn.IFS(SUM(D181:J181)&gt;0,1,OFFSET($K181,-MOD(BB181+4,5),0)=0,2,TRUE,0)</f>
        <v>0</v>
      </c>
      <c r="B181" s="527"/>
      <c r="C181" s="208">
        <v>52</v>
      </c>
      <c r="D181" s="194">
        <f ca="1">SUMIFS(Inventarisatie[Oppervlakte],Inventarisatie[Locatie],$BC181,Inventarisatie[Freq. Ma-Vr],$C181,Inventarisatie[Categorie],D$2)</f>
        <v>0</v>
      </c>
      <c r="E181" s="192">
        <f ca="1">SUMIFS(Inventarisatie[Oppervlakte],Inventarisatie[Locatie],$BC181,Inventarisatie[Freq. Ma-Vr],$C181,Inventarisatie[Categorie],E$2)</f>
        <v>0</v>
      </c>
      <c r="F181" s="192">
        <f ca="1">SUMIFS(Inventarisatie[Oppervlakte],Inventarisatie[Locatie],$BC181,Inventarisatie[Freq. Ma-Vr],$C181,Inventarisatie[Categorie],F$2)</f>
        <v>0</v>
      </c>
      <c r="G181" s="192">
        <f ca="1">SUMIFS(Inventarisatie[Oppervlakte],Inventarisatie[Locatie],$BC181,Inventarisatie[Freq. Ma-Vr],$C181,Inventarisatie[Categorie],G$2)</f>
        <v>0</v>
      </c>
      <c r="H181" s="192">
        <f ca="1">SUMIFS(Inventarisatie[Oppervlakte],Inventarisatie[Locatie],$BC181,Inventarisatie[Freq. Ma-Vr],$C181,Inventarisatie[Categorie],H$2)</f>
        <v>0</v>
      </c>
      <c r="I181" s="472">
        <f ca="1">SUMIFS(Inventarisatie[Oppervlakte],Inventarisatie[Locatie],$BC181,Inventarisatie[Freq. Ma-Vr],$C181,Inventarisatie[Categorie],I$2)</f>
        <v>0</v>
      </c>
      <c r="J181" s="472">
        <f ca="1">SUMIFS(Inventarisatie[Oppervlakte],Inventarisatie[Locatie],$BC181,Inventarisatie[Freq. Ma-Vr],$C181,Inventarisatie[Categorie],J$2)</f>
        <v>0</v>
      </c>
      <c r="K181" s="529"/>
      <c r="L181" s="316" t="b">
        <f>IF(_xlfn.XLOOKUP(BC181,Tabel2[Locatiecode],Tabel2[Type locatie],"",0)="vaccin",TRUE,FALSE)</f>
        <v>0</v>
      </c>
      <c r="BC181" s="9" t="str">
        <v>VHU-TWV</v>
      </c>
      <c r="BD181" s="9" t="str">
        <f t="shared" ca="1" si="2"/>
        <v/>
      </c>
    </row>
    <row r="182" spans="1:56" ht="0.2" customHeight="1" x14ac:dyDescent="0.2">
      <c r="A182" s="172" cm="1">
        <f t="array" aca="1" ref="A182" ca="1">_xlfn.IFS(SUM(D182:J182)&gt;0,1,OFFSET($K182,-MOD(BB182+4,5),0)=0,2,TRUE,0)</f>
        <v>2</v>
      </c>
      <c r="B182" s="527"/>
      <c r="C182" s="208">
        <v>4</v>
      </c>
      <c r="D182" s="194">
        <f ca="1">SUMIFS(Inventarisatie[Oppervlakte],Inventarisatie[Locatie],$BC182,Inventarisatie[Freq. Ma-Vr],$C182,Inventarisatie[Categorie],D$2)</f>
        <v>0</v>
      </c>
      <c r="E182" s="192">
        <f ca="1">SUMIFS(Inventarisatie[Oppervlakte],Inventarisatie[Locatie],$BC182,Inventarisatie[Freq. Ma-Vr],$C182,Inventarisatie[Categorie],E$2)</f>
        <v>0</v>
      </c>
      <c r="F182" s="192">
        <f ca="1">SUMIFS(Inventarisatie[Oppervlakte],Inventarisatie[Locatie],$BC182,Inventarisatie[Freq. Ma-Vr],$C182,Inventarisatie[Categorie],F$2)</f>
        <v>0</v>
      </c>
      <c r="G182" s="192">
        <f ca="1">SUMIFS(Inventarisatie[Oppervlakte],Inventarisatie[Locatie],$BC182,Inventarisatie[Freq. Ma-Vr],$C182,Inventarisatie[Categorie],G$2)</f>
        <v>0</v>
      </c>
      <c r="H182" s="192">
        <f ca="1">SUMIFS(Inventarisatie[Oppervlakte],Inventarisatie[Locatie],$BC182,Inventarisatie[Freq. Ma-Vr],$C182,Inventarisatie[Categorie],H$2)</f>
        <v>0</v>
      </c>
      <c r="I182" s="472">
        <f ca="1">SUMIFS(Inventarisatie[Oppervlakte],Inventarisatie[Locatie],$BC182,Inventarisatie[Freq. Ma-Vr],$C182,Inventarisatie[Categorie],I$2)</f>
        <v>0</v>
      </c>
      <c r="J182" s="472">
        <f ca="1">SUMIFS(Inventarisatie[Oppervlakte],Inventarisatie[Locatie],$BC182,Inventarisatie[Freq. Ma-Vr],$C182,Inventarisatie[Categorie],J$2)</f>
        <v>0</v>
      </c>
      <c r="K182" s="529"/>
      <c r="L182" s="316" t="b">
        <f>IF(_xlfn.XLOOKUP(BC182,Tabel2[Locatiecode],Tabel2[Type locatie],"",0)="vaccin",TRUE,FALSE)</f>
        <v>0</v>
      </c>
      <c r="BC182" s="9" t="str">
        <v>VHU-TWV</v>
      </c>
      <c r="BD182" s="9" t="str">
        <f t="shared" ca="1" si="2"/>
        <v/>
      </c>
    </row>
    <row r="183" spans="1:56" ht="15" customHeight="1" x14ac:dyDescent="0.2">
      <c r="A183" s="172" cm="1">
        <f t="array" aca="1" ref="A183" ca="1">_xlfn.IFS(SUM(D183:J183)&gt;0,1,OFFSET($K183,-MOD(BB183+4,5),0)=0,2,TRUE,0)</f>
        <v>1</v>
      </c>
      <c r="B183" s="527" t="str">
        <f>BC183</f>
        <v>WGN-CFL</v>
      </c>
      <c r="C183" s="208">
        <v>255</v>
      </c>
      <c r="D183" s="194">
        <f ca="1">SUMIFS(Inventarisatie[Oppervlakte],Inventarisatie[Locatie],$BC183,Inventarisatie[Freq. Ma-Vr],$C183,Inventarisatie[Categorie],D$2)</f>
        <v>54</v>
      </c>
      <c r="E183" s="192">
        <f ca="1">SUMIFS(Inventarisatie[Oppervlakte],Inventarisatie[Locatie],$BC183,Inventarisatie[Freq. Ma-Vr],$C183,Inventarisatie[Categorie],E$2)</f>
        <v>30.099999999999998</v>
      </c>
      <c r="F183" s="192">
        <f ca="1">SUMIFS(Inventarisatie[Oppervlakte],Inventarisatie[Locatie],$BC183,Inventarisatie[Freq. Ma-Vr],$C183,Inventarisatie[Categorie],F$2)</f>
        <v>35.6</v>
      </c>
      <c r="G183" s="192">
        <f ca="1">SUMIFS(Inventarisatie[Oppervlakte],Inventarisatie[Locatie],$BC183,Inventarisatie[Freq. Ma-Vr],$C183,Inventarisatie[Categorie],G$2)</f>
        <v>0</v>
      </c>
      <c r="H183" s="192">
        <f ca="1">SUMIFS(Inventarisatie[Oppervlakte],Inventarisatie[Locatie],$BC183,Inventarisatie[Freq. Ma-Vr],$C183,Inventarisatie[Categorie],H$2)</f>
        <v>1.5</v>
      </c>
      <c r="I183" s="472">
        <f ca="1">SUMIFS(Inventarisatie[Oppervlakte],Inventarisatie[Locatie],$BC183,Inventarisatie[Freq. Ma-Vr],$C183,Inventarisatie[Categorie],I$2)</f>
        <v>0</v>
      </c>
      <c r="J183" s="472">
        <f ca="1">SUMIFS(Inventarisatie[Oppervlakte],Inventarisatie[Locatie],$BC183,Inventarisatie[Freq. Ma-Vr],$C183,Inventarisatie[Categorie],J$2)</f>
        <v>0</v>
      </c>
      <c r="K183" s="528">
        <f ca="1">SUM(D183:J188)</f>
        <v>121.19999999999999</v>
      </c>
      <c r="L183" s="316" t="b">
        <f>IF(_xlfn.XLOOKUP(BC183,Tabel2[Locatiecode],Tabel2[Type locatie],"",0)="vaccin",TRUE,FALSE)</f>
        <v>0</v>
      </c>
      <c r="BC183" s="9" t="str">
        <v>WGN-CFL</v>
      </c>
      <c r="BD183" s="9">
        <f t="shared" ca="1" si="2"/>
        <v>255</v>
      </c>
    </row>
    <row r="184" spans="1:56" ht="0.2" customHeight="1" x14ac:dyDescent="0.2">
      <c r="A184" s="172" cm="1">
        <f t="array" aca="1" ref="A184" ca="1">_xlfn.IFS(SUM(D184:J184)&gt;0,1,OFFSET($K184,-MOD(BB184+4,5),0)=0,2,TRUE,0)</f>
        <v>2</v>
      </c>
      <c r="B184" s="527"/>
      <c r="C184" s="208">
        <v>204</v>
      </c>
      <c r="D184" s="194">
        <f ca="1">SUMIFS(Inventarisatie[Oppervlakte],Inventarisatie[Locatie],$BC184,Inventarisatie[Freq. Ma-Vr],$C184,Inventarisatie[Categorie],D$2)</f>
        <v>0</v>
      </c>
      <c r="E184" s="192">
        <f ca="1">SUMIFS(Inventarisatie[Oppervlakte],Inventarisatie[Locatie],$BC184,Inventarisatie[Freq. Ma-Vr],$C184,Inventarisatie[Categorie],E$2)</f>
        <v>0</v>
      </c>
      <c r="F184" s="192">
        <f ca="1">SUMIFS(Inventarisatie[Oppervlakte],Inventarisatie[Locatie],$BC184,Inventarisatie[Freq. Ma-Vr],$C184,Inventarisatie[Categorie],F$2)</f>
        <v>0</v>
      </c>
      <c r="G184" s="192">
        <f ca="1">SUMIFS(Inventarisatie[Oppervlakte],Inventarisatie[Locatie],$BC184,Inventarisatie[Freq. Ma-Vr],$C184,Inventarisatie[Categorie],G$2)</f>
        <v>0</v>
      </c>
      <c r="H184" s="192">
        <f ca="1">SUMIFS(Inventarisatie[Oppervlakte],Inventarisatie[Locatie],$BC184,Inventarisatie[Freq. Ma-Vr],$C184,Inventarisatie[Categorie],H$2)</f>
        <v>0</v>
      </c>
      <c r="I184" s="472">
        <f ca="1">SUMIFS(Inventarisatie[Oppervlakte],Inventarisatie[Locatie],$BC184,Inventarisatie[Freq. Ma-Vr],$C184,Inventarisatie[Categorie],I$2)</f>
        <v>0</v>
      </c>
      <c r="J184" s="472">
        <f ca="1">SUMIFS(Inventarisatie[Oppervlakte],Inventarisatie[Locatie],$BC184,Inventarisatie[Freq. Ma-Vr],$C184,Inventarisatie[Categorie],J$2)</f>
        <v>0</v>
      </c>
      <c r="K184" s="528"/>
      <c r="L184" s="316" t="b">
        <f>IF(_xlfn.XLOOKUP(BC184,Tabel2[Locatiecode],Tabel2[Type locatie],"",0)="vaccin",TRUE,FALSE)</f>
        <v>0</v>
      </c>
      <c r="BC184" s="9" t="str">
        <v>WGN-CFL</v>
      </c>
      <c r="BD184" s="9" t="str">
        <f t="shared" ca="1" si="2"/>
        <v/>
      </c>
    </row>
    <row r="185" spans="1:56" ht="0.2" customHeight="1" x14ac:dyDescent="0.2">
      <c r="A185" s="172" cm="1">
        <f t="array" aca="1" ref="A185" ca="1">_xlfn.IFS(SUM(D185:J185)&gt;0,1,OFFSET($K185,-MOD(BB185+4,5),0)=0,2,TRUE,0)</f>
        <v>2</v>
      </c>
      <c r="B185" s="527"/>
      <c r="C185" s="208">
        <v>156</v>
      </c>
      <c r="D185" s="194">
        <f ca="1">SUMIFS(Inventarisatie[Oppervlakte],Inventarisatie[Locatie],$BC185,Inventarisatie[Freq. Ma-Vr],$C185,Inventarisatie[Categorie],D$2)</f>
        <v>0</v>
      </c>
      <c r="E185" s="192">
        <f ca="1">SUMIFS(Inventarisatie[Oppervlakte],Inventarisatie[Locatie],$BC185,Inventarisatie[Freq. Ma-Vr],$C185,Inventarisatie[Categorie],E$2)</f>
        <v>0</v>
      </c>
      <c r="F185" s="192">
        <f ca="1">SUMIFS(Inventarisatie[Oppervlakte],Inventarisatie[Locatie],$BC185,Inventarisatie[Freq. Ma-Vr],$C185,Inventarisatie[Categorie],F$2)</f>
        <v>0</v>
      </c>
      <c r="G185" s="192">
        <f ca="1">SUMIFS(Inventarisatie[Oppervlakte],Inventarisatie[Locatie],$BC185,Inventarisatie[Freq. Ma-Vr],$C185,Inventarisatie[Categorie],G$2)</f>
        <v>0</v>
      </c>
      <c r="H185" s="192">
        <f ca="1">SUMIFS(Inventarisatie[Oppervlakte],Inventarisatie[Locatie],$BC185,Inventarisatie[Freq. Ma-Vr],$C185,Inventarisatie[Categorie],H$2)</f>
        <v>0</v>
      </c>
      <c r="I185" s="472">
        <f ca="1">SUMIFS(Inventarisatie[Oppervlakte],Inventarisatie[Locatie],$BC185,Inventarisatie[Freq. Ma-Vr],$C185,Inventarisatie[Categorie],I$2)</f>
        <v>0</v>
      </c>
      <c r="J185" s="472">
        <f ca="1">SUMIFS(Inventarisatie[Oppervlakte],Inventarisatie[Locatie],$BC185,Inventarisatie[Freq. Ma-Vr],$C185,Inventarisatie[Categorie],J$2)</f>
        <v>0</v>
      </c>
      <c r="K185" s="529"/>
      <c r="L185" s="316" t="b">
        <f>IF(_xlfn.XLOOKUP(BC185,Tabel2[Locatiecode],Tabel2[Type locatie],"",0)="vaccin",TRUE,FALSE)</f>
        <v>0</v>
      </c>
      <c r="BC185" s="9" t="str">
        <v>WGN-CFL</v>
      </c>
      <c r="BD185" s="9" t="str">
        <f t="shared" ca="1" si="2"/>
        <v/>
      </c>
    </row>
    <row r="186" spans="1:56" ht="0.2" customHeight="1" x14ac:dyDescent="0.2">
      <c r="A186" s="172" cm="1">
        <f t="array" aca="1" ref="A186" ca="1">_xlfn.IFS(SUM(D186:J186)&gt;0,1,OFFSET($K186,-MOD(BB186+4,5),0)=0,2,TRUE,0)</f>
        <v>2</v>
      </c>
      <c r="B186" s="527"/>
      <c r="C186" s="208">
        <v>104</v>
      </c>
      <c r="D186" s="194">
        <f ca="1">SUMIFS(Inventarisatie[Oppervlakte],Inventarisatie[Locatie],$BC186,Inventarisatie[Freq. Ma-Vr],$C186,Inventarisatie[Categorie],D$2)</f>
        <v>0</v>
      </c>
      <c r="E186" s="192">
        <f ca="1">SUMIFS(Inventarisatie[Oppervlakte],Inventarisatie[Locatie],$BC186,Inventarisatie[Freq. Ma-Vr],$C186,Inventarisatie[Categorie],E$2)</f>
        <v>0</v>
      </c>
      <c r="F186" s="192">
        <f ca="1">SUMIFS(Inventarisatie[Oppervlakte],Inventarisatie[Locatie],$BC186,Inventarisatie[Freq. Ma-Vr],$C186,Inventarisatie[Categorie],F$2)</f>
        <v>0</v>
      </c>
      <c r="G186" s="192">
        <f ca="1">SUMIFS(Inventarisatie[Oppervlakte],Inventarisatie[Locatie],$BC186,Inventarisatie[Freq. Ma-Vr],$C186,Inventarisatie[Categorie],G$2)</f>
        <v>0</v>
      </c>
      <c r="H186" s="192">
        <f ca="1">SUMIFS(Inventarisatie[Oppervlakte],Inventarisatie[Locatie],$BC186,Inventarisatie[Freq. Ma-Vr],$C186,Inventarisatie[Categorie],H$2)</f>
        <v>0</v>
      </c>
      <c r="I186" s="472">
        <f ca="1">SUMIFS(Inventarisatie[Oppervlakte],Inventarisatie[Locatie],$BC186,Inventarisatie[Freq. Ma-Vr],$C186,Inventarisatie[Categorie],I$2)</f>
        <v>0</v>
      </c>
      <c r="J186" s="472">
        <f ca="1">SUMIFS(Inventarisatie[Oppervlakte],Inventarisatie[Locatie],$BC186,Inventarisatie[Freq. Ma-Vr],$C186,Inventarisatie[Categorie],J$2)</f>
        <v>0</v>
      </c>
      <c r="K186" s="529"/>
      <c r="L186" s="316" t="b">
        <f>IF(_xlfn.XLOOKUP(BC186,Tabel2[Locatiecode],Tabel2[Type locatie],"",0)="vaccin",TRUE,FALSE)</f>
        <v>0</v>
      </c>
      <c r="BC186" s="9" t="str">
        <v>WGN-CFL</v>
      </c>
      <c r="BD186" s="9" t="str">
        <f t="shared" ca="1" si="2"/>
        <v/>
      </c>
    </row>
    <row r="187" spans="1:56" ht="0.2" customHeight="1" x14ac:dyDescent="0.2">
      <c r="A187" s="172" cm="1">
        <f t="array" aca="1" ref="A187" ca="1">_xlfn.IFS(SUM(D187:J187)&gt;0,1,OFFSET($K187,-MOD(BB187+4,5),0)=0,2,TRUE,0)</f>
        <v>0</v>
      </c>
      <c r="B187" s="527"/>
      <c r="C187" s="208">
        <v>52</v>
      </c>
      <c r="D187" s="194">
        <f ca="1">SUMIFS(Inventarisatie[Oppervlakte],Inventarisatie[Locatie],$BC187,Inventarisatie[Freq. Ma-Vr],$C187,Inventarisatie[Categorie],D$2)</f>
        <v>0</v>
      </c>
      <c r="E187" s="192">
        <f ca="1">SUMIFS(Inventarisatie[Oppervlakte],Inventarisatie[Locatie],$BC187,Inventarisatie[Freq. Ma-Vr],$C187,Inventarisatie[Categorie],E$2)</f>
        <v>0</v>
      </c>
      <c r="F187" s="192">
        <f ca="1">SUMIFS(Inventarisatie[Oppervlakte],Inventarisatie[Locatie],$BC187,Inventarisatie[Freq. Ma-Vr],$C187,Inventarisatie[Categorie],F$2)</f>
        <v>0</v>
      </c>
      <c r="G187" s="192">
        <f ca="1">SUMIFS(Inventarisatie[Oppervlakte],Inventarisatie[Locatie],$BC187,Inventarisatie[Freq. Ma-Vr],$C187,Inventarisatie[Categorie],G$2)</f>
        <v>0</v>
      </c>
      <c r="H187" s="192">
        <f ca="1">SUMIFS(Inventarisatie[Oppervlakte],Inventarisatie[Locatie],$BC187,Inventarisatie[Freq. Ma-Vr],$C187,Inventarisatie[Categorie],H$2)</f>
        <v>0</v>
      </c>
      <c r="I187" s="472">
        <f ca="1">SUMIFS(Inventarisatie[Oppervlakte],Inventarisatie[Locatie],$BC187,Inventarisatie[Freq. Ma-Vr],$C187,Inventarisatie[Categorie],I$2)</f>
        <v>0</v>
      </c>
      <c r="J187" s="472">
        <f ca="1">SUMIFS(Inventarisatie[Oppervlakte],Inventarisatie[Locatie],$BC187,Inventarisatie[Freq. Ma-Vr],$C187,Inventarisatie[Categorie],J$2)</f>
        <v>0</v>
      </c>
      <c r="K187" s="529"/>
      <c r="L187" s="316" t="b">
        <f>IF(_xlfn.XLOOKUP(BC187,Tabel2[Locatiecode],Tabel2[Type locatie],"",0)="vaccin",TRUE,FALSE)</f>
        <v>0</v>
      </c>
      <c r="BC187" s="9" t="str">
        <v>WGN-CFL</v>
      </c>
      <c r="BD187" s="9" t="str">
        <f t="shared" ca="1" si="2"/>
        <v/>
      </c>
    </row>
    <row r="188" spans="1:56" ht="0.2" customHeight="1" x14ac:dyDescent="0.2">
      <c r="A188" s="172" cm="1">
        <f t="array" aca="1" ref="A188" ca="1">_xlfn.IFS(SUM(D188:J188)&gt;0,1,OFFSET($K188,-MOD(BB188+4,5),0)=0,2,TRUE,0)</f>
        <v>2</v>
      </c>
      <c r="B188" s="527"/>
      <c r="C188" s="208">
        <v>4</v>
      </c>
      <c r="D188" s="194">
        <f ca="1">SUMIFS(Inventarisatie[Oppervlakte],Inventarisatie[Locatie],$BC188,Inventarisatie[Freq. Ma-Vr],$C188,Inventarisatie[Categorie],D$2)</f>
        <v>0</v>
      </c>
      <c r="E188" s="192">
        <f ca="1">SUMIFS(Inventarisatie[Oppervlakte],Inventarisatie[Locatie],$BC188,Inventarisatie[Freq. Ma-Vr],$C188,Inventarisatie[Categorie],E$2)</f>
        <v>0</v>
      </c>
      <c r="F188" s="192">
        <f ca="1">SUMIFS(Inventarisatie[Oppervlakte],Inventarisatie[Locatie],$BC188,Inventarisatie[Freq. Ma-Vr],$C188,Inventarisatie[Categorie],F$2)</f>
        <v>0</v>
      </c>
      <c r="G188" s="192">
        <f ca="1">SUMIFS(Inventarisatie[Oppervlakte],Inventarisatie[Locatie],$BC188,Inventarisatie[Freq. Ma-Vr],$C188,Inventarisatie[Categorie],G$2)</f>
        <v>0</v>
      </c>
      <c r="H188" s="192">
        <f ca="1">SUMIFS(Inventarisatie[Oppervlakte],Inventarisatie[Locatie],$BC188,Inventarisatie[Freq. Ma-Vr],$C188,Inventarisatie[Categorie],H$2)</f>
        <v>0</v>
      </c>
      <c r="I188" s="472">
        <f ca="1">SUMIFS(Inventarisatie[Oppervlakte],Inventarisatie[Locatie],$BC188,Inventarisatie[Freq. Ma-Vr],$C188,Inventarisatie[Categorie],I$2)</f>
        <v>0</v>
      </c>
      <c r="J188" s="472">
        <f ca="1">SUMIFS(Inventarisatie[Oppervlakte],Inventarisatie[Locatie],$BC188,Inventarisatie[Freq. Ma-Vr],$C188,Inventarisatie[Categorie],J$2)</f>
        <v>0</v>
      </c>
      <c r="K188" s="529"/>
      <c r="L188" s="316" t="b">
        <f>IF(_xlfn.XLOOKUP(BC188,Tabel2[Locatiecode],Tabel2[Type locatie],"",0)="vaccin",TRUE,FALSE)</f>
        <v>0</v>
      </c>
      <c r="BC188" s="9" t="str">
        <v>WGN-CFL</v>
      </c>
      <c r="BD188" s="9" t="str">
        <f t="shared" ca="1" si="2"/>
        <v/>
      </c>
    </row>
    <row r="189" spans="1:56" ht="15" customHeight="1" x14ac:dyDescent="0.2">
      <c r="A189" s="172" cm="1">
        <f t="array" aca="1" ref="A189" ca="1">_xlfn.IFS(SUM(D189:J189)&gt;0,1,OFFSET($K189,-MOD(BB189+4,5),0)=0,2,TRUE,0)</f>
        <v>1</v>
      </c>
      <c r="B189" s="527" t="str">
        <f>BC189</f>
        <v>WRM-DBK</v>
      </c>
      <c r="C189" s="208">
        <v>255</v>
      </c>
      <c r="D189" s="194">
        <f ca="1">SUMIFS(Inventarisatie[Oppervlakte],Inventarisatie[Locatie],$BC189,Inventarisatie[Freq. Ma-Vr],$C189,Inventarisatie[Categorie],D$2)</f>
        <v>37.200000000000003</v>
      </c>
      <c r="E189" s="192">
        <f ca="1">SUMIFS(Inventarisatie[Oppervlakte],Inventarisatie[Locatie],$BC189,Inventarisatie[Freq. Ma-Vr],$C189,Inventarisatie[Categorie],E$2)</f>
        <v>14.1</v>
      </c>
      <c r="F189" s="192">
        <f ca="1">SUMIFS(Inventarisatie[Oppervlakte],Inventarisatie[Locatie],$BC189,Inventarisatie[Freq. Ma-Vr],$C189,Inventarisatie[Categorie],F$2)</f>
        <v>47.3</v>
      </c>
      <c r="G189" s="192">
        <f ca="1">SUMIFS(Inventarisatie[Oppervlakte],Inventarisatie[Locatie],$BC189,Inventarisatie[Freq. Ma-Vr],$C189,Inventarisatie[Categorie],G$2)</f>
        <v>0</v>
      </c>
      <c r="H189" s="192">
        <f ca="1">SUMIFS(Inventarisatie[Oppervlakte],Inventarisatie[Locatie],$BC189,Inventarisatie[Freq. Ma-Vr],$C189,Inventarisatie[Categorie],H$2)</f>
        <v>2.8</v>
      </c>
      <c r="I189" s="472">
        <f ca="1">SUMIFS(Inventarisatie[Oppervlakte],Inventarisatie[Locatie],$BC189,Inventarisatie[Freq. Ma-Vr],$C189,Inventarisatie[Categorie],I$2)</f>
        <v>11.2</v>
      </c>
      <c r="J189" s="472">
        <f ca="1">SUMIFS(Inventarisatie[Oppervlakte],Inventarisatie[Locatie],$BC189,Inventarisatie[Freq. Ma-Vr],$C189,Inventarisatie[Categorie],J$2)</f>
        <v>0</v>
      </c>
      <c r="K189" s="528">
        <f ca="1">SUM(D189:J194)</f>
        <v>112.6</v>
      </c>
      <c r="L189" s="316" t="b">
        <f>IF(_xlfn.XLOOKUP(BC189,Tabel2[Locatiecode],Tabel2[Type locatie],"",0)="vaccin",TRUE,FALSE)</f>
        <v>0</v>
      </c>
      <c r="BC189" s="9" t="str">
        <v>WRM-DBK</v>
      </c>
      <c r="BD189" s="9">
        <f t="shared" ca="1" si="2"/>
        <v>255</v>
      </c>
    </row>
    <row r="190" spans="1:56" ht="0.2" customHeight="1" x14ac:dyDescent="0.2">
      <c r="A190" s="172" cm="1">
        <f t="array" aca="1" ref="A190" ca="1">_xlfn.IFS(SUM(D190:J190)&gt;0,1,OFFSET($K190,-MOD(BB190+4,5),0)=0,2,TRUE,0)</f>
        <v>2</v>
      </c>
      <c r="B190" s="527"/>
      <c r="C190" s="208">
        <v>204</v>
      </c>
      <c r="D190" s="194">
        <f ca="1">SUMIFS(Inventarisatie[Oppervlakte],Inventarisatie[Locatie],$BC190,Inventarisatie[Freq. Ma-Vr],$C190,Inventarisatie[Categorie],D$2)</f>
        <v>0</v>
      </c>
      <c r="E190" s="192">
        <f ca="1">SUMIFS(Inventarisatie[Oppervlakte],Inventarisatie[Locatie],$BC190,Inventarisatie[Freq. Ma-Vr],$C190,Inventarisatie[Categorie],E$2)</f>
        <v>0</v>
      </c>
      <c r="F190" s="192">
        <f ca="1">SUMIFS(Inventarisatie[Oppervlakte],Inventarisatie[Locatie],$BC190,Inventarisatie[Freq. Ma-Vr],$C190,Inventarisatie[Categorie],F$2)</f>
        <v>0</v>
      </c>
      <c r="G190" s="192">
        <f ca="1">SUMIFS(Inventarisatie[Oppervlakte],Inventarisatie[Locatie],$BC190,Inventarisatie[Freq. Ma-Vr],$C190,Inventarisatie[Categorie],G$2)</f>
        <v>0</v>
      </c>
      <c r="H190" s="192">
        <f ca="1">SUMIFS(Inventarisatie[Oppervlakte],Inventarisatie[Locatie],$BC190,Inventarisatie[Freq. Ma-Vr],$C190,Inventarisatie[Categorie],H$2)</f>
        <v>0</v>
      </c>
      <c r="I190" s="472">
        <f ca="1">SUMIFS(Inventarisatie[Oppervlakte],Inventarisatie[Locatie],$BC190,Inventarisatie[Freq. Ma-Vr],$C190,Inventarisatie[Categorie],I$2)</f>
        <v>0</v>
      </c>
      <c r="J190" s="472">
        <f ca="1">SUMIFS(Inventarisatie[Oppervlakte],Inventarisatie[Locatie],$BC190,Inventarisatie[Freq. Ma-Vr],$C190,Inventarisatie[Categorie],J$2)</f>
        <v>0</v>
      </c>
      <c r="K190" s="528"/>
      <c r="L190" s="316" t="b">
        <f>IF(_xlfn.XLOOKUP(BC190,Tabel2[Locatiecode],Tabel2[Type locatie],"",0)="vaccin",TRUE,FALSE)</f>
        <v>0</v>
      </c>
      <c r="BC190" s="9" t="str">
        <v>WRM-DBK</v>
      </c>
      <c r="BD190" s="9" t="str">
        <f t="shared" ca="1" si="2"/>
        <v/>
      </c>
    </row>
    <row r="191" spans="1:56" ht="0.2" customHeight="1" x14ac:dyDescent="0.2">
      <c r="A191" s="172" cm="1">
        <f t="array" aca="1" ref="A191" ca="1">_xlfn.IFS(SUM(D191:J191)&gt;0,1,OFFSET($K191,-MOD(BB191+4,5),0)=0,2,TRUE,0)</f>
        <v>2</v>
      </c>
      <c r="B191" s="527"/>
      <c r="C191" s="208">
        <v>156</v>
      </c>
      <c r="D191" s="194">
        <f ca="1">SUMIFS(Inventarisatie[Oppervlakte],Inventarisatie[Locatie],$BC191,Inventarisatie[Freq. Ma-Vr],$C191,Inventarisatie[Categorie],D$2)</f>
        <v>0</v>
      </c>
      <c r="E191" s="192">
        <f ca="1">SUMIFS(Inventarisatie[Oppervlakte],Inventarisatie[Locatie],$BC191,Inventarisatie[Freq. Ma-Vr],$C191,Inventarisatie[Categorie],E$2)</f>
        <v>0</v>
      </c>
      <c r="F191" s="192">
        <f ca="1">SUMIFS(Inventarisatie[Oppervlakte],Inventarisatie[Locatie],$BC191,Inventarisatie[Freq. Ma-Vr],$C191,Inventarisatie[Categorie],F$2)</f>
        <v>0</v>
      </c>
      <c r="G191" s="192">
        <f ca="1">SUMIFS(Inventarisatie[Oppervlakte],Inventarisatie[Locatie],$BC191,Inventarisatie[Freq. Ma-Vr],$C191,Inventarisatie[Categorie],G$2)</f>
        <v>0</v>
      </c>
      <c r="H191" s="192">
        <f ca="1">SUMIFS(Inventarisatie[Oppervlakte],Inventarisatie[Locatie],$BC191,Inventarisatie[Freq. Ma-Vr],$C191,Inventarisatie[Categorie],H$2)</f>
        <v>0</v>
      </c>
      <c r="I191" s="472">
        <f ca="1">SUMIFS(Inventarisatie[Oppervlakte],Inventarisatie[Locatie],$BC191,Inventarisatie[Freq. Ma-Vr],$C191,Inventarisatie[Categorie],I$2)</f>
        <v>0</v>
      </c>
      <c r="J191" s="472">
        <f ca="1">SUMIFS(Inventarisatie[Oppervlakte],Inventarisatie[Locatie],$BC191,Inventarisatie[Freq. Ma-Vr],$C191,Inventarisatie[Categorie],J$2)</f>
        <v>0</v>
      </c>
      <c r="K191" s="529"/>
      <c r="L191" s="316" t="b">
        <f>IF(_xlfn.XLOOKUP(BC191,Tabel2[Locatiecode],Tabel2[Type locatie],"",0)="vaccin",TRUE,FALSE)</f>
        <v>0</v>
      </c>
      <c r="BC191" s="9" t="str">
        <v>WRM-DBK</v>
      </c>
      <c r="BD191" s="9" t="str">
        <f t="shared" ca="1" si="2"/>
        <v/>
      </c>
    </row>
    <row r="192" spans="1:56" ht="0.2" customHeight="1" x14ac:dyDescent="0.2">
      <c r="A192" s="172" cm="1">
        <f t="array" aca="1" ref="A192" ca="1">_xlfn.IFS(SUM(D192:J192)&gt;0,1,OFFSET($K192,-MOD(BB192+4,5),0)=0,2,TRUE,0)</f>
        <v>2</v>
      </c>
      <c r="B192" s="527"/>
      <c r="C192" s="208">
        <v>104</v>
      </c>
      <c r="D192" s="194">
        <f ca="1">SUMIFS(Inventarisatie[Oppervlakte],Inventarisatie[Locatie],$BC192,Inventarisatie[Freq. Ma-Vr],$C192,Inventarisatie[Categorie],D$2)</f>
        <v>0</v>
      </c>
      <c r="E192" s="192">
        <f ca="1">SUMIFS(Inventarisatie[Oppervlakte],Inventarisatie[Locatie],$BC192,Inventarisatie[Freq. Ma-Vr],$C192,Inventarisatie[Categorie],E$2)</f>
        <v>0</v>
      </c>
      <c r="F192" s="192">
        <f ca="1">SUMIFS(Inventarisatie[Oppervlakte],Inventarisatie[Locatie],$BC192,Inventarisatie[Freq. Ma-Vr],$C192,Inventarisatie[Categorie],F$2)</f>
        <v>0</v>
      </c>
      <c r="G192" s="192">
        <f ca="1">SUMIFS(Inventarisatie[Oppervlakte],Inventarisatie[Locatie],$BC192,Inventarisatie[Freq. Ma-Vr],$C192,Inventarisatie[Categorie],G$2)</f>
        <v>0</v>
      </c>
      <c r="H192" s="192">
        <f ca="1">SUMIFS(Inventarisatie[Oppervlakte],Inventarisatie[Locatie],$BC192,Inventarisatie[Freq. Ma-Vr],$C192,Inventarisatie[Categorie],H$2)</f>
        <v>0</v>
      </c>
      <c r="I192" s="472">
        <f ca="1">SUMIFS(Inventarisatie[Oppervlakte],Inventarisatie[Locatie],$BC192,Inventarisatie[Freq. Ma-Vr],$C192,Inventarisatie[Categorie],I$2)</f>
        <v>0</v>
      </c>
      <c r="J192" s="472">
        <f ca="1">SUMIFS(Inventarisatie[Oppervlakte],Inventarisatie[Locatie],$BC192,Inventarisatie[Freq. Ma-Vr],$C192,Inventarisatie[Categorie],J$2)</f>
        <v>0</v>
      </c>
      <c r="K192" s="529"/>
      <c r="L192" s="316" t="b">
        <f>IF(_xlfn.XLOOKUP(BC192,Tabel2[Locatiecode],Tabel2[Type locatie],"",0)="vaccin",TRUE,FALSE)</f>
        <v>0</v>
      </c>
      <c r="BC192" s="9" t="str">
        <v>WRM-DBK</v>
      </c>
      <c r="BD192" s="9" t="str">
        <f t="shared" ca="1" si="2"/>
        <v/>
      </c>
    </row>
    <row r="193" spans="1:56" ht="0.2" customHeight="1" x14ac:dyDescent="0.2">
      <c r="A193" s="172" cm="1">
        <f t="array" aca="1" ref="A193" ca="1">_xlfn.IFS(SUM(D193:J193)&gt;0,1,OFFSET($K193,-MOD(BB193+4,5),0)=0,2,TRUE,0)</f>
        <v>0</v>
      </c>
      <c r="B193" s="527"/>
      <c r="C193" s="208">
        <v>52</v>
      </c>
      <c r="D193" s="194">
        <f ca="1">SUMIFS(Inventarisatie[Oppervlakte],Inventarisatie[Locatie],$BC193,Inventarisatie[Freq. Ma-Vr],$C193,Inventarisatie[Categorie],D$2)</f>
        <v>0</v>
      </c>
      <c r="E193" s="192">
        <f ca="1">SUMIFS(Inventarisatie[Oppervlakte],Inventarisatie[Locatie],$BC193,Inventarisatie[Freq. Ma-Vr],$C193,Inventarisatie[Categorie],E$2)</f>
        <v>0</v>
      </c>
      <c r="F193" s="192">
        <f ca="1">SUMIFS(Inventarisatie[Oppervlakte],Inventarisatie[Locatie],$BC193,Inventarisatie[Freq. Ma-Vr],$C193,Inventarisatie[Categorie],F$2)</f>
        <v>0</v>
      </c>
      <c r="G193" s="192">
        <f ca="1">SUMIFS(Inventarisatie[Oppervlakte],Inventarisatie[Locatie],$BC193,Inventarisatie[Freq. Ma-Vr],$C193,Inventarisatie[Categorie],G$2)</f>
        <v>0</v>
      </c>
      <c r="H193" s="192">
        <f ca="1">SUMIFS(Inventarisatie[Oppervlakte],Inventarisatie[Locatie],$BC193,Inventarisatie[Freq. Ma-Vr],$C193,Inventarisatie[Categorie],H$2)</f>
        <v>0</v>
      </c>
      <c r="I193" s="472">
        <f ca="1">SUMIFS(Inventarisatie[Oppervlakte],Inventarisatie[Locatie],$BC193,Inventarisatie[Freq. Ma-Vr],$C193,Inventarisatie[Categorie],I$2)</f>
        <v>0</v>
      </c>
      <c r="J193" s="472">
        <f ca="1">SUMIFS(Inventarisatie[Oppervlakte],Inventarisatie[Locatie],$BC193,Inventarisatie[Freq. Ma-Vr],$C193,Inventarisatie[Categorie],J$2)</f>
        <v>0</v>
      </c>
      <c r="K193" s="529"/>
      <c r="L193" s="316" t="b">
        <f>IF(_xlfn.XLOOKUP(BC193,Tabel2[Locatiecode],Tabel2[Type locatie],"",0)="vaccin",TRUE,FALSE)</f>
        <v>0</v>
      </c>
      <c r="BC193" s="9" t="str">
        <v>WRM-DBK</v>
      </c>
      <c r="BD193" s="9" t="str">
        <f t="shared" ca="1" si="2"/>
        <v/>
      </c>
    </row>
    <row r="194" spans="1:56" ht="0.2" customHeight="1" x14ac:dyDescent="0.2">
      <c r="A194" s="172" cm="1">
        <f t="array" aca="1" ref="A194" ca="1">_xlfn.IFS(SUM(D194:J194)&gt;0,1,OFFSET($K194,-MOD(BB194+4,5),0)=0,2,TRUE,0)</f>
        <v>2</v>
      </c>
      <c r="B194" s="527"/>
      <c r="C194" s="208">
        <v>4</v>
      </c>
      <c r="D194" s="194">
        <f ca="1">SUMIFS(Inventarisatie[Oppervlakte],Inventarisatie[Locatie],$BC194,Inventarisatie[Freq. Ma-Vr],$C194,Inventarisatie[Categorie],D$2)</f>
        <v>0</v>
      </c>
      <c r="E194" s="192">
        <f ca="1">SUMIFS(Inventarisatie[Oppervlakte],Inventarisatie[Locatie],$BC194,Inventarisatie[Freq. Ma-Vr],$C194,Inventarisatie[Categorie],E$2)</f>
        <v>0</v>
      </c>
      <c r="F194" s="192">
        <f ca="1">SUMIFS(Inventarisatie[Oppervlakte],Inventarisatie[Locatie],$BC194,Inventarisatie[Freq. Ma-Vr],$C194,Inventarisatie[Categorie],F$2)</f>
        <v>0</v>
      </c>
      <c r="G194" s="192">
        <f ca="1">SUMIFS(Inventarisatie[Oppervlakte],Inventarisatie[Locatie],$BC194,Inventarisatie[Freq. Ma-Vr],$C194,Inventarisatie[Categorie],G$2)</f>
        <v>0</v>
      </c>
      <c r="H194" s="192">
        <f ca="1">SUMIFS(Inventarisatie[Oppervlakte],Inventarisatie[Locatie],$BC194,Inventarisatie[Freq. Ma-Vr],$C194,Inventarisatie[Categorie],H$2)</f>
        <v>0</v>
      </c>
      <c r="I194" s="472">
        <f ca="1">SUMIFS(Inventarisatie[Oppervlakte],Inventarisatie[Locatie],$BC194,Inventarisatie[Freq. Ma-Vr],$C194,Inventarisatie[Categorie],I$2)</f>
        <v>0</v>
      </c>
      <c r="J194" s="472">
        <f ca="1">SUMIFS(Inventarisatie[Oppervlakte],Inventarisatie[Locatie],$BC194,Inventarisatie[Freq. Ma-Vr],$C194,Inventarisatie[Categorie],J$2)</f>
        <v>0</v>
      </c>
      <c r="K194" s="529"/>
      <c r="L194" s="316" t="b">
        <f>IF(_xlfn.XLOOKUP(BC194,Tabel2[Locatiecode],Tabel2[Type locatie],"",0)="vaccin",TRUE,FALSE)</f>
        <v>0</v>
      </c>
      <c r="BC194" s="9" t="str">
        <v>WRM-DBK</v>
      </c>
      <c r="BD194" s="9" t="str">
        <f t="shared" ca="1" si="2"/>
        <v/>
      </c>
    </row>
    <row r="195" spans="1:56" ht="15" customHeight="1" x14ac:dyDescent="0.2">
      <c r="A195" s="172" cm="1">
        <f t="array" aca="1" ref="A195" ca="1">_xlfn.IFS(SUM(D195:J195)&gt;0,1,OFFSET($K195,-MOD(BB195+4,5),0)=0,2,TRUE,0)</f>
        <v>1</v>
      </c>
      <c r="B195" s="527" t="str">
        <f>BC195</f>
        <v>WRV-OLW</v>
      </c>
      <c r="C195" s="208">
        <v>255</v>
      </c>
      <c r="D195" s="194">
        <f ca="1">SUMIFS(Inventarisatie[Oppervlakte],Inventarisatie[Locatie],$BC195,Inventarisatie[Freq. Ma-Vr],$C195,Inventarisatie[Categorie],D$2)</f>
        <v>30</v>
      </c>
      <c r="E195" s="192">
        <f ca="1">SUMIFS(Inventarisatie[Oppervlakte],Inventarisatie[Locatie],$BC195,Inventarisatie[Freq. Ma-Vr],$C195,Inventarisatie[Categorie],E$2)</f>
        <v>15.1</v>
      </c>
      <c r="F195" s="192">
        <f ca="1">SUMIFS(Inventarisatie[Oppervlakte],Inventarisatie[Locatie],$BC195,Inventarisatie[Freq. Ma-Vr],$C195,Inventarisatie[Categorie],F$2)</f>
        <v>83.7</v>
      </c>
      <c r="G195" s="192">
        <f>SUMIFS(Inventarisatie[Oppervlakte],Inventarisatie[Locatie],$BC195,Inventarisatie[Freq. Ma-Vr],$C195,Inventarisatie[Categorie],G$2)</f>
        <v>0</v>
      </c>
      <c r="H195" s="192">
        <f ca="1">SUMIFS(Inventarisatie[Oppervlakte],Inventarisatie[Locatie],$BC195,Inventarisatie[Freq. Ma-Vr],$C195,Inventarisatie[Categorie],H$2)</f>
        <v>2.2000000000000002</v>
      </c>
      <c r="I195" s="472">
        <f ca="1">SUMIFS(Inventarisatie[Oppervlakte],Inventarisatie[Locatie],$BC195,Inventarisatie[Freq. Ma-Vr],$C195,Inventarisatie[Categorie],I$2)</f>
        <v>18.2</v>
      </c>
      <c r="J195" s="472">
        <f ca="1">SUMIFS(Inventarisatie[Oppervlakte],Inventarisatie[Locatie],$BC195,Inventarisatie[Freq. Ma-Vr],$C195,Inventarisatie[Categorie],J$2)</f>
        <v>0</v>
      </c>
      <c r="K195" s="528">
        <f ca="1">SUM(D195:J200)</f>
        <v>149.19999999999999</v>
      </c>
      <c r="L195" s="316" t="b">
        <f>IF(_xlfn.XLOOKUP(BC195,Tabel2[Locatiecode],Tabel2[Type locatie],"",0)="vaccin",TRUE,FALSE)</f>
        <v>0</v>
      </c>
      <c r="BC195" s="9" t="str">
        <v>WRV-OLW</v>
      </c>
      <c r="BD195" s="9">
        <f t="shared" ca="1" si="2"/>
        <v>255</v>
      </c>
    </row>
    <row r="196" spans="1:56" ht="0.2" customHeight="1" x14ac:dyDescent="0.2">
      <c r="A196" s="172" cm="1">
        <f t="array" aca="1" ref="A196" ca="1">_xlfn.IFS(SUM(D196:J196)&gt;0,1,OFFSET($K196,-MOD(BB196+4,5),0)=0,2,TRUE,0)</f>
        <v>2</v>
      </c>
      <c r="B196" s="527"/>
      <c r="C196" s="208">
        <v>204</v>
      </c>
      <c r="D196" s="194">
        <f ca="1">SUMIFS(Inventarisatie[Oppervlakte],Inventarisatie[Locatie],$BC196,Inventarisatie[Freq. Ma-Vr],$C196,Inventarisatie[Categorie],D$2)</f>
        <v>0</v>
      </c>
      <c r="E196" s="192">
        <f ca="1">SUMIFS(Inventarisatie[Oppervlakte],Inventarisatie[Locatie],$BC196,Inventarisatie[Freq. Ma-Vr],$C196,Inventarisatie[Categorie],E$2)</f>
        <v>0</v>
      </c>
      <c r="F196" s="192">
        <f ca="1">SUMIFS(Inventarisatie[Oppervlakte],Inventarisatie[Locatie],$BC196,Inventarisatie[Freq. Ma-Vr],$C196,Inventarisatie[Categorie],F$2)</f>
        <v>0</v>
      </c>
      <c r="G196" s="192">
        <f>SUMIFS(Inventarisatie[Oppervlakte],Inventarisatie[Locatie],$BC196,Inventarisatie[Freq. Ma-Vr],$C196,Inventarisatie[Categorie],G$2)</f>
        <v>0</v>
      </c>
      <c r="H196" s="192">
        <f ca="1">SUMIFS(Inventarisatie[Oppervlakte],Inventarisatie[Locatie],$BC196,Inventarisatie[Freq. Ma-Vr],$C196,Inventarisatie[Categorie],H$2)</f>
        <v>0</v>
      </c>
      <c r="I196" s="472">
        <f ca="1">SUMIFS(Inventarisatie[Oppervlakte],Inventarisatie[Locatie],$BC196,Inventarisatie[Freq. Ma-Vr],$C196,Inventarisatie[Categorie],I$2)</f>
        <v>0</v>
      </c>
      <c r="J196" s="472">
        <f ca="1">SUMIFS(Inventarisatie[Oppervlakte],Inventarisatie[Locatie],$BC196,Inventarisatie[Freq. Ma-Vr],$C196,Inventarisatie[Categorie],J$2)</f>
        <v>0</v>
      </c>
      <c r="K196" s="528"/>
      <c r="L196" s="316" t="b">
        <f>IF(_xlfn.XLOOKUP(BC196,Tabel2[Locatiecode],Tabel2[Type locatie],"",0)="vaccin",TRUE,FALSE)</f>
        <v>0</v>
      </c>
      <c r="BC196" s="9" t="str">
        <v>WRV-OLW</v>
      </c>
      <c r="BD196" s="9" t="str">
        <f t="shared" ref="BD196:BD259" ca="1" si="3">IF(SUM(D196:J196)&gt;0,C196,"")</f>
        <v/>
      </c>
    </row>
    <row r="197" spans="1:56" ht="0.2" customHeight="1" x14ac:dyDescent="0.2">
      <c r="A197" s="172" cm="1">
        <f t="array" aca="1" ref="A197" ca="1">_xlfn.IFS(SUM(D197:J197)&gt;0,1,OFFSET($K197,-MOD(BB197+4,5),0)=0,2,TRUE,0)</f>
        <v>2</v>
      </c>
      <c r="B197" s="527"/>
      <c r="C197" s="208">
        <v>156</v>
      </c>
      <c r="D197" s="194">
        <f ca="1">SUMIFS(Inventarisatie[Oppervlakte],Inventarisatie[Locatie],$BC197,Inventarisatie[Freq. Ma-Vr],$C197,Inventarisatie[Categorie],D$2)</f>
        <v>0</v>
      </c>
      <c r="E197" s="192">
        <f ca="1">SUMIFS(Inventarisatie[Oppervlakte],Inventarisatie[Locatie],$BC197,Inventarisatie[Freq. Ma-Vr],$C197,Inventarisatie[Categorie],E$2)</f>
        <v>0</v>
      </c>
      <c r="F197" s="192">
        <f ca="1">SUMIFS(Inventarisatie[Oppervlakte],Inventarisatie[Locatie],$BC197,Inventarisatie[Freq. Ma-Vr],$C197,Inventarisatie[Categorie],F$2)</f>
        <v>0</v>
      </c>
      <c r="G197" s="192">
        <f ca="1">SUMIFS(Inventarisatie[Oppervlakte],Inventarisatie[Locatie],$BC197,Inventarisatie[Freq. Ma-Vr],$C197,Inventarisatie[Categorie],G$2)</f>
        <v>0</v>
      </c>
      <c r="H197" s="192">
        <f ca="1">SUMIFS(Inventarisatie[Oppervlakte],Inventarisatie[Locatie],$BC197,Inventarisatie[Freq. Ma-Vr],$C197,Inventarisatie[Categorie],H$2)</f>
        <v>0</v>
      </c>
      <c r="I197" s="472">
        <f ca="1">SUMIFS(Inventarisatie[Oppervlakte],Inventarisatie[Locatie],$BC197,Inventarisatie[Freq. Ma-Vr],$C197,Inventarisatie[Categorie],I$2)</f>
        <v>0</v>
      </c>
      <c r="J197" s="472">
        <f ca="1">SUMIFS(Inventarisatie[Oppervlakte],Inventarisatie[Locatie],$BC197,Inventarisatie[Freq. Ma-Vr],$C197,Inventarisatie[Categorie],J$2)</f>
        <v>0</v>
      </c>
      <c r="K197" s="529"/>
      <c r="L197" s="316" t="b">
        <f>IF(_xlfn.XLOOKUP(BC197,Tabel2[Locatiecode],Tabel2[Type locatie],"",0)="vaccin",TRUE,FALSE)</f>
        <v>0</v>
      </c>
      <c r="BC197" s="9" t="str">
        <v>WRV-OLW</v>
      </c>
      <c r="BD197" s="9" t="str">
        <f t="shared" ca="1" si="3"/>
        <v/>
      </c>
    </row>
    <row r="198" spans="1:56" ht="0.2" customHeight="1" x14ac:dyDescent="0.2">
      <c r="A198" s="172" cm="1">
        <f t="array" aca="1" ref="A198" ca="1">_xlfn.IFS(SUM(D198:J198)&gt;0,1,OFFSET($K198,-MOD(BB198+4,5),0)=0,2,TRUE,0)</f>
        <v>2</v>
      </c>
      <c r="B198" s="527"/>
      <c r="C198" s="208">
        <v>104</v>
      </c>
      <c r="D198" s="194">
        <f ca="1">SUMIFS(Inventarisatie[Oppervlakte],Inventarisatie[Locatie],$BC198,Inventarisatie[Freq. Ma-Vr],$C198,Inventarisatie[Categorie],D$2)</f>
        <v>0</v>
      </c>
      <c r="E198" s="192">
        <f ca="1">SUMIFS(Inventarisatie[Oppervlakte],Inventarisatie[Locatie],$BC198,Inventarisatie[Freq. Ma-Vr],$C198,Inventarisatie[Categorie],E$2)</f>
        <v>0</v>
      </c>
      <c r="F198" s="192">
        <f ca="1">SUMIFS(Inventarisatie[Oppervlakte],Inventarisatie[Locatie],$BC198,Inventarisatie[Freq. Ma-Vr],$C198,Inventarisatie[Categorie],F$2)</f>
        <v>0</v>
      </c>
      <c r="G198" s="192">
        <f ca="1">SUMIFS(Inventarisatie[Oppervlakte],Inventarisatie[Locatie],$BC198,Inventarisatie[Freq. Ma-Vr],$C198,Inventarisatie[Categorie],G$2)</f>
        <v>0</v>
      </c>
      <c r="H198" s="192">
        <f ca="1">SUMIFS(Inventarisatie[Oppervlakte],Inventarisatie[Locatie],$BC198,Inventarisatie[Freq. Ma-Vr],$C198,Inventarisatie[Categorie],H$2)</f>
        <v>0</v>
      </c>
      <c r="I198" s="472">
        <f ca="1">SUMIFS(Inventarisatie[Oppervlakte],Inventarisatie[Locatie],$BC198,Inventarisatie[Freq. Ma-Vr],$C198,Inventarisatie[Categorie],I$2)</f>
        <v>0</v>
      </c>
      <c r="J198" s="472">
        <f ca="1">SUMIFS(Inventarisatie[Oppervlakte],Inventarisatie[Locatie],$BC198,Inventarisatie[Freq. Ma-Vr],$C198,Inventarisatie[Categorie],J$2)</f>
        <v>0</v>
      </c>
      <c r="K198" s="529"/>
      <c r="L198" s="316" t="b">
        <f>IF(_xlfn.XLOOKUP(BC198,Tabel2[Locatiecode],Tabel2[Type locatie],"",0)="vaccin",TRUE,FALSE)</f>
        <v>0</v>
      </c>
      <c r="BC198" s="9" t="str">
        <v>WRV-OLW</v>
      </c>
      <c r="BD198" s="9" t="str">
        <f t="shared" ca="1" si="3"/>
        <v/>
      </c>
    </row>
    <row r="199" spans="1:56" ht="0.2" customHeight="1" x14ac:dyDescent="0.2">
      <c r="A199" s="172" cm="1">
        <f t="array" aca="1" ref="A199" ca="1">_xlfn.IFS(SUM(D199:J199)&gt;0,1,OFFSET($K199,-MOD(BB199+4,5),0)=0,2,TRUE,0)</f>
        <v>0</v>
      </c>
      <c r="B199" s="527"/>
      <c r="C199" s="208">
        <v>52</v>
      </c>
      <c r="D199" s="194">
        <f ca="1">SUMIFS(Inventarisatie[Oppervlakte],Inventarisatie[Locatie],$BC199,Inventarisatie[Freq. Ma-Vr],$C199,Inventarisatie[Categorie],D$2)</f>
        <v>0</v>
      </c>
      <c r="E199" s="192">
        <f ca="1">SUMIFS(Inventarisatie[Oppervlakte],Inventarisatie[Locatie],$BC199,Inventarisatie[Freq. Ma-Vr],$C199,Inventarisatie[Categorie],E$2)</f>
        <v>0</v>
      </c>
      <c r="F199" s="192">
        <f ca="1">SUMIFS(Inventarisatie[Oppervlakte],Inventarisatie[Locatie],$BC199,Inventarisatie[Freq. Ma-Vr],$C199,Inventarisatie[Categorie],F$2)</f>
        <v>0</v>
      </c>
      <c r="G199" s="192">
        <f ca="1">SUMIFS(Inventarisatie[Oppervlakte],Inventarisatie[Locatie],$BC199,Inventarisatie[Freq. Ma-Vr],$C199,Inventarisatie[Categorie],G$2)</f>
        <v>0</v>
      </c>
      <c r="H199" s="192">
        <f ca="1">SUMIFS(Inventarisatie[Oppervlakte],Inventarisatie[Locatie],$BC199,Inventarisatie[Freq. Ma-Vr],$C199,Inventarisatie[Categorie],H$2)</f>
        <v>0</v>
      </c>
      <c r="I199" s="472">
        <f ca="1">SUMIFS(Inventarisatie[Oppervlakte],Inventarisatie[Locatie],$BC199,Inventarisatie[Freq. Ma-Vr],$C199,Inventarisatie[Categorie],I$2)</f>
        <v>0</v>
      </c>
      <c r="J199" s="472">
        <f ca="1">SUMIFS(Inventarisatie[Oppervlakte],Inventarisatie[Locatie],$BC199,Inventarisatie[Freq. Ma-Vr],$C199,Inventarisatie[Categorie],J$2)</f>
        <v>0</v>
      </c>
      <c r="K199" s="529"/>
      <c r="L199" s="316" t="b">
        <f>IF(_xlfn.XLOOKUP(BC199,Tabel2[Locatiecode],Tabel2[Type locatie],"",0)="vaccin",TRUE,FALSE)</f>
        <v>0</v>
      </c>
      <c r="BC199" s="9" t="str">
        <v>WRV-OLW</v>
      </c>
      <c r="BD199" s="9" t="str">
        <f t="shared" ca="1" si="3"/>
        <v/>
      </c>
    </row>
    <row r="200" spans="1:56" ht="0.2" customHeight="1" x14ac:dyDescent="0.2">
      <c r="A200" s="172" cm="1">
        <f t="array" aca="1" ref="A200" ca="1">_xlfn.IFS(SUM(D200:J200)&gt;0,1,OFFSET($K200,-MOD(BB200+4,5),0)=0,2,TRUE,0)</f>
        <v>2</v>
      </c>
      <c r="B200" s="527"/>
      <c r="C200" s="208">
        <v>4</v>
      </c>
      <c r="D200" s="194">
        <f ca="1">SUMIFS(Inventarisatie[Oppervlakte],Inventarisatie[Locatie],$BC200,Inventarisatie[Freq. Ma-Vr],$C200,Inventarisatie[Categorie],D$2)</f>
        <v>0</v>
      </c>
      <c r="E200" s="192">
        <f ca="1">SUMIFS(Inventarisatie[Oppervlakte],Inventarisatie[Locatie],$BC200,Inventarisatie[Freq. Ma-Vr],$C200,Inventarisatie[Categorie],E$2)</f>
        <v>0</v>
      </c>
      <c r="F200" s="192">
        <f ca="1">SUMIFS(Inventarisatie[Oppervlakte],Inventarisatie[Locatie],$BC200,Inventarisatie[Freq. Ma-Vr],$C200,Inventarisatie[Categorie],F$2)</f>
        <v>0</v>
      </c>
      <c r="G200" s="192">
        <f ca="1">SUMIFS(Inventarisatie[Oppervlakte],Inventarisatie[Locatie],$BC200,Inventarisatie[Freq. Ma-Vr],$C200,Inventarisatie[Categorie],G$2)</f>
        <v>0</v>
      </c>
      <c r="H200" s="192">
        <f ca="1">SUMIFS(Inventarisatie[Oppervlakte],Inventarisatie[Locatie],$BC200,Inventarisatie[Freq. Ma-Vr],$C200,Inventarisatie[Categorie],H$2)</f>
        <v>0</v>
      </c>
      <c r="I200" s="472">
        <f ca="1">SUMIFS(Inventarisatie[Oppervlakte],Inventarisatie[Locatie],$BC200,Inventarisatie[Freq. Ma-Vr],$C200,Inventarisatie[Categorie],I$2)</f>
        <v>0</v>
      </c>
      <c r="J200" s="472">
        <f ca="1">SUMIFS(Inventarisatie[Oppervlakte],Inventarisatie[Locatie],$BC200,Inventarisatie[Freq. Ma-Vr],$C200,Inventarisatie[Categorie],J$2)</f>
        <v>0</v>
      </c>
      <c r="K200" s="529"/>
      <c r="L200" s="316" t="b">
        <f>IF(_xlfn.XLOOKUP(BC200,Tabel2[Locatiecode],Tabel2[Type locatie],"",0)="vaccin",TRUE,FALSE)</f>
        <v>0</v>
      </c>
      <c r="BC200" s="9" t="str">
        <v>WRV-OLW</v>
      </c>
      <c r="BD200" s="9" t="str">
        <f t="shared" ca="1" si="3"/>
        <v/>
      </c>
    </row>
    <row r="201" spans="1:56" ht="15" customHeight="1" thickBot="1" x14ac:dyDescent="0.25">
      <c r="A201" s="172" cm="1">
        <f t="array" aca="1" ref="A201" ca="1">_xlfn.IFS(SUM(D201:J201)&gt;0,1,OFFSET($K201,-MOD(BB201+4,5),0)=0,2,TRUE,0)</f>
        <v>1</v>
      </c>
      <c r="B201" s="527" t="str">
        <f>BC201</f>
        <v>ZSW-BGR</v>
      </c>
      <c r="C201" s="208">
        <v>255</v>
      </c>
      <c r="D201" s="194">
        <f ca="1">SUMIFS(Inventarisatie[Oppervlakte],Inventarisatie[Locatie],$BC201,Inventarisatie[Freq. Ma-Vr],$C201,Inventarisatie[Categorie],D$2)</f>
        <v>62</v>
      </c>
      <c r="E201" s="192">
        <f>SUMIFS(Inventarisatie[Oppervlakte],Inventarisatie[Locatie],$BC201,Inventarisatie[Freq. Ma-Vr],$C201,Inventarisatie[Categorie],E$2)</f>
        <v>0</v>
      </c>
      <c r="F201" s="192">
        <f ca="1">SUMIFS(Inventarisatie[Oppervlakte],Inventarisatie[Locatie],$BC201,Inventarisatie[Freq. Ma-Vr],$C201,Inventarisatie[Categorie],F$2)</f>
        <v>101.9</v>
      </c>
      <c r="G201" s="192">
        <f ca="1">SUMIFS(Inventarisatie[Oppervlakte],Inventarisatie[Locatie],$BC201,Inventarisatie[Freq. Ma-Vr],$C201,Inventarisatie[Categorie],G$2)</f>
        <v>0</v>
      </c>
      <c r="H201" s="192">
        <f ca="1">SUMIFS(Inventarisatie[Oppervlakte],Inventarisatie[Locatie],$BC201,Inventarisatie[Freq. Ma-Vr],$C201,Inventarisatie[Categorie],H$2)</f>
        <v>2.4</v>
      </c>
      <c r="I201" s="472">
        <f ca="1">SUMIFS(Inventarisatie[Oppervlakte],Inventarisatie[Locatie],$BC201,Inventarisatie[Freq. Ma-Vr],$C201,Inventarisatie[Categorie],I$2)</f>
        <v>4.5999999999999996</v>
      </c>
      <c r="J201" s="472">
        <f ca="1">SUMIFS(Inventarisatie[Oppervlakte],Inventarisatie[Locatie],$BC201,Inventarisatie[Freq. Ma-Vr],$C201,Inventarisatie[Categorie],J$2)</f>
        <v>0</v>
      </c>
      <c r="K201" s="528">
        <f ca="1">SUM(D201:J206)</f>
        <v>170.9</v>
      </c>
      <c r="L201" s="316" t="b">
        <f>IF(_xlfn.XLOOKUP(BC201,Tabel2[Locatiecode],Tabel2[Type locatie],"",0)="vaccin",TRUE,FALSE)</f>
        <v>0</v>
      </c>
      <c r="BC201" s="9" t="str">
        <v>ZSW-BGR</v>
      </c>
      <c r="BD201" s="9">
        <f t="shared" ca="1" si="3"/>
        <v>255</v>
      </c>
    </row>
    <row r="202" spans="1:56" ht="0.2" customHeight="1" x14ac:dyDescent="0.2">
      <c r="A202" s="172" cm="1">
        <f t="array" aca="1" ref="A202" ca="1">_xlfn.IFS(SUM(D202:J202)&gt;0,1,OFFSET($K202,-MOD(BB202+4,5),0)=0,2,TRUE,0)</f>
        <v>2</v>
      </c>
      <c r="B202" s="527"/>
      <c r="C202" s="208">
        <v>204</v>
      </c>
      <c r="D202" s="194">
        <f ca="1">SUMIFS(Inventarisatie[Oppervlakte],Inventarisatie[Locatie],$BC202,Inventarisatie[Freq. Ma-Vr],$C202,Inventarisatie[Categorie],D$2)</f>
        <v>0</v>
      </c>
      <c r="E202" s="192">
        <f>SUMIFS(Inventarisatie[Oppervlakte],Inventarisatie[Locatie],$BC202,Inventarisatie[Freq. Ma-Vr],$C202,Inventarisatie[Categorie],E$2)</f>
        <v>0</v>
      </c>
      <c r="F202" s="192">
        <f ca="1">SUMIFS(Inventarisatie[Oppervlakte],Inventarisatie[Locatie],$BC202,Inventarisatie[Freq. Ma-Vr],$C202,Inventarisatie[Categorie],F$2)</f>
        <v>0</v>
      </c>
      <c r="G202" s="192">
        <f ca="1">SUMIFS(Inventarisatie[Oppervlakte],Inventarisatie[Locatie],$BC202,Inventarisatie[Freq. Ma-Vr],$C202,Inventarisatie[Categorie],G$2)</f>
        <v>0</v>
      </c>
      <c r="H202" s="192">
        <f ca="1">SUMIFS(Inventarisatie[Oppervlakte],Inventarisatie[Locatie],$BC202,Inventarisatie[Freq. Ma-Vr],$C202,Inventarisatie[Categorie],H$2)</f>
        <v>0</v>
      </c>
      <c r="I202" s="472">
        <f ca="1">SUMIFS(Inventarisatie[Oppervlakte],Inventarisatie[Locatie],$BC202,Inventarisatie[Freq. Ma-Vr],$C202,Inventarisatie[Categorie],I$2)</f>
        <v>0</v>
      </c>
      <c r="J202" s="472">
        <f ca="1">SUMIFS(Inventarisatie[Oppervlakte],Inventarisatie[Locatie],$BC202,Inventarisatie[Freq. Ma-Vr],$C202,Inventarisatie[Categorie],J$2)</f>
        <v>0</v>
      </c>
      <c r="K202" s="528"/>
      <c r="L202" s="316" t="b">
        <f>IF(_xlfn.XLOOKUP(BC202,Tabel2[Locatiecode],Tabel2[Type locatie],"",0)="vaccin",TRUE,FALSE)</f>
        <v>0</v>
      </c>
      <c r="BC202" s="9" t="str">
        <v>ZSW-BGR</v>
      </c>
      <c r="BD202" s="9" t="str">
        <f t="shared" ca="1" si="3"/>
        <v/>
      </c>
    </row>
    <row r="203" spans="1:56" ht="0.2" customHeight="1" x14ac:dyDescent="0.2">
      <c r="A203" s="172" cm="1">
        <f t="array" aca="1" ref="A203" ca="1">_xlfn.IFS(SUM(D203:J203)&gt;0,1,OFFSET($K203,-MOD(BB203+4,5),0)=0,2,TRUE,0)</f>
        <v>2</v>
      </c>
      <c r="B203" s="527"/>
      <c r="C203" s="208">
        <v>156</v>
      </c>
      <c r="D203" s="194">
        <f ca="1">SUMIFS(Inventarisatie[Oppervlakte],Inventarisatie[Locatie],$BC203,Inventarisatie[Freq. Ma-Vr],$C203,Inventarisatie[Categorie],D$2)</f>
        <v>0</v>
      </c>
      <c r="E203" s="192">
        <f ca="1">SUMIFS(Inventarisatie[Oppervlakte],Inventarisatie[Locatie],$BC203,Inventarisatie[Freq. Ma-Vr],$C203,Inventarisatie[Categorie],E$2)</f>
        <v>0</v>
      </c>
      <c r="F203" s="192">
        <f ca="1">SUMIFS(Inventarisatie[Oppervlakte],Inventarisatie[Locatie],$BC203,Inventarisatie[Freq. Ma-Vr],$C203,Inventarisatie[Categorie],F$2)</f>
        <v>0</v>
      </c>
      <c r="G203" s="192">
        <f>SUMIFS(Inventarisatie[Oppervlakte],Inventarisatie[Locatie],$BC203,Inventarisatie[Freq. Ma-Vr],$C203,Inventarisatie[Categorie],G$2)</f>
        <v>0</v>
      </c>
      <c r="H203" s="192">
        <f ca="1">SUMIFS(Inventarisatie[Oppervlakte],Inventarisatie[Locatie],$BC203,Inventarisatie[Freq. Ma-Vr],$C203,Inventarisatie[Categorie],H$2)</f>
        <v>0</v>
      </c>
      <c r="I203" s="472">
        <f ca="1">SUMIFS(Inventarisatie[Oppervlakte],Inventarisatie[Locatie],$BC203,Inventarisatie[Freq. Ma-Vr],$C203,Inventarisatie[Categorie],I$2)</f>
        <v>0</v>
      </c>
      <c r="J203" s="472">
        <f ca="1">SUMIFS(Inventarisatie[Oppervlakte],Inventarisatie[Locatie],$BC203,Inventarisatie[Freq. Ma-Vr],$C203,Inventarisatie[Categorie],J$2)</f>
        <v>0</v>
      </c>
      <c r="K203" s="529"/>
      <c r="L203" s="316" t="b">
        <f>IF(_xlfn.XLOOKUP(BC203,Tabel2[Locatiecode],Tabel2[Type locatie],"",0)="vaccin",TRUE,FALSE)</f>
        <v>0</v>
      </c>
      <c r="BC203" s="9" t="str">
        <v>ZSW-BGR</v>
      </c>
      <c r="BD203" s="9" t="str">
        <f t="shared" ca="1" si="3"/>
        <v/>
      </c>
    </row>
    <row r="204" spans="1:56" ht="0.2" customHeight="1" x14ac:dyDescent="0.2">
      <c r="A204" s="172" cm="1">
        <f t="array" aca="1" ref="A204" ca="1">_xlfn.IFS(SUM(D204:J204)&gt;0,1,OFFSET($K204,-MOD(BB204+4,5),0)=0,2,TRUE,0)</f>
        <v>2</v>
      </c>
      <c r="B204" s="527"/>
      <c r="C204" s="208">
        <v>104</v>
      </c>
      <c r="D204" s="194">
        <f ca="1">SUMIFS(Inventarisatie[Oppervlakte],Inventarisatie[Locatie],$BC204,Inventarisatie[Freq. Ma-Vr],$C204,Inventarisatie[Categorie],D$2)</f>
        <v>0</v>
      </c>
      <c r="E204" s="192">
        <f ca="1">SUMIFS(Inventarisatie[Oppervlakte],Inventarisatie[Locatie],$BC204,Inventarisatie[Freq. Ma-Vr],$C204,Inventarisatie[Categorie],E$2)</f>
        <v>0</v>
      </c>
      <c r="F204" s="192">
        <f ca="1">SUMIFS(Inventarisatie[Oppervlakte],Inventarisatie[Locatie],$BC204,Inventarisatie[Freq. Ma-Vr],$C204,Inventarisatie[Categorie],F$2)</f>
        <v>0</v>
      </c>
      <c r="G204" s="192">
        <f>SUMIFS(Inventarisatie[Oppervlakte],Inventarisatie[Locatie],$BC204,Inventarisatie[Freq. Ma-Vr],$C204,Inventarisatie[Categorie],G$2)</f>
        <v>0</v>
      </c>
      <c r="H204" s="192">
        <f ca="1">SUMIFS(Inventarisatie[Oppervlakte],Inventarisatie[Locatie],$BC204,Inventarisatie[Freq. Ma-Vr],$C204,Inventarisatie[Categorie],H$2)</f>
        <v>0</v>
      </c>
      <c r="I204" s="472">
        <f ca="1">SUMIFS(Inventarisatie[Oppervlakte],Inventarisatie[Locatie],$BC204,Inventarisatie[Freq. Ma-Vr],$C204,Inventarisatie[Categorie],I$2)</f>
        <v>0</v>
      </c>
      <c r="J204" s="472">
        <f ca="1">SUMIFS(Inventarisatie[Oppervlakte],Inventarisatie[Locatie],$BC204,Inventarisatie[Freq. Ma-Vr],$C204,Inventarisatie[Categorie],J$2)</f>
        <v>0</v>
      </c>
      <c r="K204" s="529"/>
      <c r="L204" s="316" t="b">
        <f>IF(_xlfn.XLOOKUP(BC204,Tabel2[Locatiecode],Tabel2[Type locatie],"",0)="vaccin",TRUE,FALSE)</f>
        <v>0</v>
      </c>
      <c r="BC204" s="9" t="str">
        <v>ZSW-BGR</v>
      </c>
      <c r="BD204" s="9" t="str">
        <f t="shared" ca="1" si="3"/>
        <v/>
      </c>
    </row>
    <row r="205" spans="1:56" ht="0.2" customHeight="1" x14ac:dyDescent="0.2">
      <c r="A205" s="172" cm="1">
        <f t="array" aca="1" ref="A205" ca="1">_xlfn.IFS(SUM(D205:J205)&gt;0,1,OFFSET($K205,-MOD(BB205+4,5),0)=0,2,TRUE,0)</f>
        <v>0</v>
      </c>
      <c r="B205" s="527"/>
      <c r="C205" s="208">
        <v>52</v>
      </c>
      <c r="D205" s="194">
        <f ca="1">SUMIFS(Inventarisatie[Oppervlakte],Inventarisatie[Locatie],$BC205,Inventarisatie[Freq. Ma-Vr],$C205,Inventarisatie[Categorie],D$2)</f>
        <v>0</v>
      </c>
      <c r="E205" s="192">
        <f ca="1">SUMIFS(Inventarisatie[Oppervlakte],Inventarisatie[Locatie],$BC205,Inventarisatie[Freq. Ma-Vr],$C205,Inventarisatie[Categorie],E$2)</f>
        <v>0</v>
      </c>
      <c r="F205" s="192">
        <f ca="1">SUMIFS(Inventarisatie[Oppervlakte],Inventarisatie[Locatie],$BC205,Inventarisatie[Freq. Ma-Vr],$C205,Inventarisatie[Categorie],F$2)</f>
        <v>0</v>
      </c>
      <c r="G205" s="192">
        <f ca="1">SUMIFS(Inventarisatie[Oppervlakte],Inventarisatie[Locatie],$BC205,Inventarisatie[Freq. Ma-Vr],$C205,Inventarisatie[Categorie],G$2)</f>
        <v>0</v>
      </c>
      <c r="H205" s="192">
        <f ca="1">SUMIFS(Inventarisatie[Oppervlakte],Inventarisatie[Locatie],$BC205,Inventarisatie[Freq. Ma-Vr],$C205,Inventarisatie[Categorie],H$2)</f>
        <v>0</v>
      </c>
      <c r="I205" s="472">
        <f ca="1">SUMIFS(Inventarisatie[Oppervlakte],Inventarisatie[Locatie],$BC205,Inventarisatie[Freq. Ma-Vr],$C205,Inventarisatie[Categorie],I$2)</f>
        <v>0</v>
      </c>
      <c r="J205" s="472">
        <f ca="1">SUMIFS(Inventarisatie[Oppervlakte],Inventarisatie[Locatie],$BC205,Inventarisatie[Freq. Ma-Vr],$C205,Inventarisatie[Categorie],J$2)</f>
        <v>0</v>
      </c>
      <c r="K205" s="529"/>
      <c r="L205" s="316" t="b">
        <f>IF(_xlfn.XLOOKUP(BC205,Tabel2[Locatiecode],Tabel2[Type locatie],"",0)="vaccin",TRUE,FALSE)</f>
        <v>0</v>
      </c>
      <c r="BC205" s="9" t="str">
        <v>ZSW-BGR</v>
      </c>
      <c r="BD205" s="9" t="str">
        <f t="shared" ca="1" si="3"/>
        <v/>
      </c>
    </row>
    <row r="206" spans="1:56" ht="0.2" customHeight="1" x14ac:dyDescent="0.2">
      <c r="A206" s="172" cm="1">
        <f t="array" aca="1" ref="A206" ca="1">_xlfn.IFS(SUM(D206:J206)&gt;0,1,OFFSET($K206,-MOD(BB206+4,5),0)=0,2,TRUE,0)</f>
        <v>2</v>
      </c>
      <c r="B206" s="527"/>
      <c r="C206" s="208">
        <v>4</v>
      </c>
      <c r="D206" s="194">
        <f ca="1">SUMIFS(Inventarisatie[Oppervlakte],Inventarisatie[Locatie],$BC206,Inventarisatie[Freq. Ma-Vr],$C206,Inventarisatie[Categorie],D$2)</f>
        <v>0</v>
      </c>
      <c r="E206" s="192">
        <f ca="1">SUMIFS(Inventarisatie[Oppervlakte],Inventarisatie[Locatie],$BC206,Inventarisatie[Freq. Ma-Vr],$C206,Inventarisatie[Categorie],E$2)</f>
        <v>0</v>
      </c>
      <c r="F206" s="192">
        <f ca="1">SUMIFS(Inventarisatie[Oppervlakte],Inventarisatie[Locatie],$BC206,Inventarisatie[Freq. Ma-Vr],$C206,Inventarisatie[Categorie],F$2)</f>
        <v>0</v>
      </c>
      <c r="G206" s="192">
        <f ca="1">SUMIFS(Inventarisatie[Oppervlakte],Inventarisatie[Locatie],$BC206,Inventarisatie[Freq. Ma-Vr],$C206,Inventarisatie[Categorie],G$2)</f>
        <v>0</v>
      </c>
      <c r="H206" s="192">
        <f ca="1">SUMIFS(Inventarisatie[Oppervlakte],Inventarisatie[Locatie],$BC206,Inventarisatie[Freq. Ma-Vr],$C206,Inventarisatie[Categorie],H$2)</f>
        <v>0</v>
      </c>
      <c r="I206" s="472">
        <f ca="1">SUMIFS(Inventarisatie[Oppervlakte],Inventarisatie[Locatie],$BC206,Inventarisatie[Freq. Ma-Vr],$C206,Inventarisatie[Categorie],I$2)</f>
        <v>0</v>
      </c>
      <c r="J206" s="472">
        <f ca="1">SUMIFS(Inventarisatie[Oppervlakte],Inventarisatie[Locatie],$BC206,Inventarisatie[Freq. Ma-Vr],$C206,Inventarisatie[Categorie],J$2)</f>
        <v>0</v>
      </c>
      <c r="K206" s="529"/>
      <c r="L206" s="316" t="b">
        <f>IF(_xlfn.XLOOKUP(BC206,Tabel2[Locatiecode],Tabel2[Type locatie],"",0)="vaccin",TRUE,FALSE)</f>
        <v>0</v>
      </c>
      <c r="BC206" s="9" t="str">
        <v>ZSW-BGR</v>
      </c>
      <c r="BD206" s="9" t="str">
        <f t="shared" ca="1" si="3"/>
        <v/>
      </c>
    </row>
    <row r="207" spans="1:56" ht="0.2" customHeight="1" x14ac:dyDescent="0.2">
      <c r="A207" s="172" cm="1">
        <f t="array" aca="1" ref="A207" ca="1">_xlfn.IFS(SUM(D207:J207)&gt;0,1,OFFSET($K207,-MOD(BB207+4,5),0)=0,2,TRUE,0)</f>
        <v>2</v>
      </c>
      <c r="B207" s="527">
        <f>BC207</f>
        <v>0</v>
      </c>
      <c r="C207" s="208">
        <v>255</v>
      </c>
      <c r="D207" s="194">
        <f ca="1">SUMIFS(Inventarisatie[Oppervlakte],Inventarisatie[Locatie],$BC207,Inventarisatie[Freq. Ma-Vr],$C207,Inventarisatie[Categorie],D$2)</f>
        <v>0</v>
      </c>
      <c r="E207" s="192">
        <f ca="1">SUMIFS(Inventarisatie[Oppervlakte],Inventarisatie[Locatie],$BC207,Inventarisatie[Freq. Ma-Vr],$C207,Inventarisatie[Categorie],E$2)</f>
        <v>0</v>
      </c>
      <c r="F207" s="192">
        <f ca="1">SUMIFS(Inventarisatie[Oppervlakte],Inventarisatie[Locatie],$BC207,Inventarisatie[Freq. Ma-Vr],$C207,Inventarisatie[Categorie],F$2)</f>
        <v>0</v>
      </c>
      <c r="G207" s="192">
        <f ca="1">SUMIFS(Inventarisatie[Oppervlakte],Inventarisatie[Locatie],$BC207,Inventarisatie[Freq. Ma-Vr],$C207,Inventarisatie[Categorie],G$2)</f>
        <v>0</v>
      </c>
      <c r="H207" s="192">
        <f ca="1">SUMIFS(Inventarisatie[Oppervlakte],Inventarisatie[Locatie],$BC207,Inventarisatie[Freq. Ma-Vr],$C207,Inventarisatie[Categorie],H$2)</f>
        <v>0</v>
      </c>
      <c r="I207" s="472">
        <f ca="1">SUMIFS(Inventarisatie[Oppervlakte],Inventarisatie[Locatie],$BC207,Inventarisatie[Freq. Ma-Vr],$C207,Inventarisatie[Categorie],I$2)</f>
        <v>0</v>
      </c>
      <c r="J207" s="472">
        <f>SUMIFS(Inventarisatie[Oppervlakte],Inventarisatie[Locatie],$BC207,Inventarisatie[Freq. Ma-Vr],$C207,Inventarisatie[Categorie],J$2)</f>
        <v>0</v>
      </c>
      <c r="K207" s="528">
        <f ca="1">SUM(D207:J212)</f>
        <v>0</v>
      </c>
      <c r="L207" s="316" t="b">
        <f>IF(_xlfn.XLOOKUP(BC207,Tabel2[Locatiecode],Tabel2[Type locatie],"",0)="vaccin",TRUE,FALSE)</f>
        <v>0</v>
      </c>
      <c r="BD207" s="9" t="str">
        <f t="shared" ca="1" si="3"/>
        <v/>
      </c>
    </row>
    <row r="208" spans="1:56" ht="0.2" customHeight="1" x14ac:dyDescent="0.2">
      <c r="A208" s="172" cm="1">
        <f t="array" aca="1" ref="A208" ca="1">_xlfn.IFS(SUM(D208:J208)&gt;0,1,OFFSET($K208,-MOD(BB208+4,5),0)=0,2,TRUE,0)</f>
        <v>2</v>
      </c>
      <c r="B208" s="527"/>
      <c r="C208" s="208">
        <v>204</v>
      </c>
      <c r="D208" s="194">
        <f ca="1">SUMIFS(Inventarisatie[Oppervlakte],Inventarisatie[Locatie],$BC208,Inventarisatie[Freq. Ma-Vr],$C208,Inventarisatie[Categorie],D$2)</f>
        <v>0</v>
      </c>
      <c r="E208" s="192">
        <f>SUMIFS(Inventarisatie[Oppervlakte],Inventarisatie[Locatie],$BC208,Inventarisatie[Freq. Ma-Vr],$C208,Inventarisatie[Categorie],E$2)</f>
        <v>0</v>
      </c>
      <c r="F208" s="192">
        <f ca="1">SUMIFS(Inventarisatie[Oppervlakte],Inventarisatie[Locatie],$BC208,Inventarisatie[Freq. Ma-Vr],$C208,Inventarisatie[Categorie],F$2)</f>
        <v>0</v>
      </c>
      <c r="G208" s="192">
        <f ca="1">SUMIFS(Inventarisatie[Oppervlakte],Inventarisatie[Locatie],$BC208,Inventarisatie[Freq. Ma-Vr],$C208,Inventarisatie[Categorie],G$2)</f>
        <v>0</v>
      </c>
      <c r="H208" s="192">
        <f ca="1">SUMIFS(Inventarisatie[Oppervlakte],Inventarisatie[Locatie],$BC208,Inventarisatie[Freq. Ma-Vr],$C208,Inventarisatie[Categorie],H$2)</f>
        <v>0</v>
      </c>
      <c r="I208" s="472">
        <f ca="1">SUMIFS(Inventarisatie[Oppervlakte],Inventarisatie[Locatie],$BC208,Inventarisatie[Freq. Ma-Vr],$C208,Inventarisatie[Categorie],I$2)</f>
        <v>0</v>
      </c>
      <c r="J208" s="472">
        <f ca="1">SUMIFS(Inventarisatie[Oppervlakte],Inventarisatie[Locatie],$BC208,Inventarisatie[Freq. Ma-Vr],$C208,Inventarisatie[Categorie],J$2)</f>
        <v>0</v>
      </c>
      <c r="K208" s="528"/>
      <c r="L208" s="316" t="b">
        <f>IF(_xlfn.XLOOKUP(BC208,Tabel2[Locatiecode],Tabel2[Type locatie],"",0)="vaccin",TRUE,FALSE)</f>
        <v>0</v>
      </c>
      <c r="BD208" s="9" t="str">
        <f t="shared" ca="1" si="3"/>
        <v/>
      </c>
    </row>
    <row r="209" spans="1:56" ht="0.2" customHeight="1" x14ac:dyDescent="0.2">
      <c r="A209" s="172" cm="1">
        <f t="array" aca="1" ref="A209" ca="1">_xlfn.IFS(SUM(D209:J209)&gt;0,1,OFFSET($K209,-MOD(BB209+4,5),0)=0,2,TRUE,0)</f>
        <v>2</v>
      </c>
      <c r="B209" s="527"/>
      <c r="C209" s="208">
        <v>156</v>
      </c>
      <c r="D209" s="194">
        <f ca="1">SUMIFS(Inventarisatie[Oppervlakte],Inventarisatie[Locatie],$BC209,Inventarisatie[Freq. Ma-Vr],$C209,Inventarisatie[Categorie],D$2)</f>
        <v>0</v>
      </c>
      <c r="E209" s="192">
        <f>SUMIFS(Inventarisatie[Oppervlakte],Inventarisatie[Locatie],$BC209,Inventarisatie[Freq. Ma-Vr],$C209,Inventarisatie[Categorie],E$2)</f>
        <v>0</v>
      </c>
      <c r="F209" s="192">
        <f>SUMIFS(Inventarisatie[Oppervlakte],Inventarisatie[Locatie],$BC209,Inventarisatie[Freq. Ma-Vr],$C209,Inventarisatie[Categorie],F$2)</f>
        <v>0</v>
      </c>
      <c r="G209" s="192">
        <f ca="1">SUMIFS(Inventarisatie[Oppervlakte],Inventarisatie[Locatie],$BC209,Inventarisatie[Freq. Ma-Vr],$C209,Inventarisatie[Categorie],G$2)</f>
        <v>0</v>
      </c>
      <c r="H209" s="192">
        <f ca="1">SUMIFS(Inventarisatie[Oppervlakte],Inventarisatie[Locatie],$BC209,Inventarisatie[Freq. Ma-Vr],$C209,Inventarisatie[Categorie],H$2)</f>
        <v>0</v>
      </c>
      <c r="I209" s="472">
        <f ca="1">SUMIFS(Inventarisatie[Oppervlakte],Inventarisatie[Locatie],$BC209,Inventarisatie[Freq. Ma-Vr],$C209,Inventarisatie[Categorie],I$2)</f>
        <v>0</v>
      </c>
      <c r="J209" s="472">
        <f ca="1">SUMIFS(Inventarisatie[Oppervlakte],Inventarisatie[Locatie],$BC209,Inventarisatie[Freq. Ma-Vr],$C209,Inventarisatie[Categorie],J$2)</f>
        <v>0</v>
      </c>
      <c r="K209" s="529"/>
      <c r="L209" s="316" t="b">
        <f>IF(_xlfn.XLOOKUP(BC209,Tabel2[Locatiecode],Tabel2[Type locatie],"",0)="vaccin",TRUE,FALSE)</f>
        <v>0</v>
      </c>
      <c r="BD209" s="9" t="str">
        <f t="shared" ca="1" si="3"/>
        <v/>
      </c>
    </row>
    <row r="210" spans="1:56" ht="0.2" customHeight="1" x14ac:dyDescent="0.2">
      <c r="A210" s="172" cm="1">
        <f t="array" aca="1" ref="A210" ca="1">_xlfn.IFS(SUM(D210:J210)&gt;0,1,OFFSET($K210,-MOD(BB210+4,5),0)=0,2,TRUE,0)</f>
        <v>2</v>
      </c>
      <c r="B210" s="527"/>
      <c r="C210" s="208">
        <v>104</v>
      </c>
      <c r="D210" s="194">
        <f ca="1">SUMIFS(Inventarisatie[Oppervlakte],Inventarisatie[Locatie],$BC210,Inventarisatie[Freq. Ma-Vr],$C210,Inventarisatie[Categorie],D$2)</f>
        <v>0</v>
      </c>
      <c r="E210" s="192">
        <f>SUMIFS(Inventarisatie[Oppervlakte],Inventarisatie[Locatie],$BC210,Inventarisatie[Freq. Ma-Vr],$C210,Inventarisatie[Categorie],E$2)</f>
        <v>0</v>
      </c>
      <c r="F210" s="192">
        <f>SUMIFS(Inventarisatie[Oppervlakte],Inventarisatie[Locatie],$BC210,Inventarisatie[Freq. Ma-Vr],$C210,Inventarisatie[Categorie],F$2)</f>
        <v>0</v>
      </c>
      <c r="G210" s="192">
        <f>SUMIFS(Inventarisatie[Oppervlakte],Inventarisatie[Locatie],$BC210,Inventarisatie[Freq. Ma-Vr],$C210,Inventarisatie[Categorie],G$2)</f>
        <v>0</v>
      </c>
      <c r="H210" s="192">
        <f>SUMIFS(Inventarisatie[Oppervlakte],Inventarisatie[Locatie],$BC210,Inventarisatie[Freq. Ma-Vr],$C210,Inventarisatie[Categorie],H$2)</f>
        <v>0</v>
      </c>
      <c r="I210" s="472">
        <f ca="1">SUMIFS(Inventarisatie[Oppervlakte],Inventarisatie[Locatie],$BC210,Inventarisatie[Freq. Ma-Vr],$C210,Inventarisatie[Categorie],I$2)</f>
        <v>0</v>
      </c>
      <c r="J210" s="472">
        <f ca="1">SUMIFS(Inventarisatie[Oppervlakte],Inventarisatie[Locatie],$BC210,Inventarisatie[Freq. Ma-Vr],$C210,Inventarisatie[Categorie],J$2)</f>
        <v>0</v>
      </c>
      <c r="K210" s="529"/>
      <c r="L210" s="316" t="b">
        <f>IF(_xlfn.XLOOKUP(BC210,Tabel2[Locatiecode],Tabel2[Type locatie],"",0)="vaccin",TRUE,FALSE)</f>
        <v>0</v>
      </c>
      <c r="BD210" s="9" t="str">
        <f t="shared" ca="1" si="3"/>
        <v/>
      </c>
    </row>
    <row r="211" spans="1:56" ht="0.2" customHeight="1" x14ac:dyDescent="0.2">
      <c r="A211" s="172" cm="1">
        <f t="array" aca="1" ref="A211" ca="1">_xlfn.IFS(SUM(D211:J211)&gt;0,1,OFFSET($K211,-MOD(BB211+4,5),0)=0,2,TRUE,0)</f>
        <v>2</v>
      </c>
      <c r="B211" s="527"/>
      <c r="C211" s="208">
        <v>52</v>
      </c>
      <c r="D211" s="194">
        <f ca="1">SUMIFS(Inventarisatie[Oppervlakte],Inventarisatie[Locatie],$BC211,Inventarisatie[Freq. Ma-Vr],$C211,Inventarisatie[Categorie],D$2)</f>
        <v>0</v>
      </c>
      <c r="E211" s="192">
        <f ca="1">SUMIFS(Inventarisatie[Oppervlakte],Inventarisatie[Locatie],$BC211,Inventarisatie[Freq. Ma-Vr],$C211,Inventarisatie[Categorie],E$2)</f>
        <v>0</v>
      </c>
      <c r="F211" s="192">
        <f>SUMIFS(Inventarisatie[Oppervlakte],Inventarisatie[Locatie],$BC211,Inventarisatie[Freq. Ma-Vr],$C211,Inventarisatie[Categorie],F$2)</f>
        <v>0</v>
      </c>
      <c r="G211" s="192">
        <f>SUMIFS(Inventarisatie[Oppervlakte],Inventarisatie[Locatie],$BC211,Inventarisatie[Freq. Ma-Vr],$C211,Inventarisatie[Categorie],G$2)</f>
        <v>0</v>
      </c>
      <c r="H211" s="192">
        <f>SUMIFS(Inventarisatie[Oppervlakte],Inventarisatie[Locatie],$BC211,Inventarisatie[Freq. Ma-Vr],$C211,Inventarisatie[Categorie],H$2)</f>
        <v>0</v>
      </c>
      <c r="I211" s="472">
        <f ca="1">SUMIFS(Inventarisatie[Oppervlakte],Inventarisatie[Locatie],$BC211,Inventarisatie[Freq. Ma-Vr],$C211,Inventarisatie[Categorie],I$2)</f>
        <v>0</v>
      </c>
      <c r="J211" s="472">
        <f ca="1">SUMIFS(Inventarisatie[Oppervlakte],Inventarisatie[Locatie],$BC211,Inventarisatie[Freq. Ma-Vr],$C211,Inventarisatie[Categorie],J$2)</f>
        <v>0</v>
      </c>
      <c r="K211" s="529"/>
      <c r="L211" s="316" t="b">
        <f>IF(_xlfn.XLOOKUP(BC211,Tabel2[Locatiecode],Tabel2[Type locatie],"",0)="vaccin",TRUE,FALSE)</f>
        <v>0</v>
      </c>
      <c r="BD211" s="9" t="str">
        <f t="shared" ca="1" si="3"/>
        <v/>
      </c>
    </row>
    <row r="212" spans="1:56" ht="0.2" customHeight="1" x14ac:dyDescent="0.2">
      <c r="A212" s="172" cm="1">
        <f t="array" aca="1" ref="A212" ca="1">_xlfn.IFS(SUM(D212:J212)&gt;0,1,OFFSET($K212,-MOD(BB212+4,5),0)=0,2,TRUE,0)</f>
        <v>2</v>
      </c>
      <c r="B212" s="527"/>
      <c r="C212" s="208">
        <v>4</v>
      </c>
      <c r="D212" s="194">
        <f ca="1">SUMIFS(Inventarisatie[Oppervlakte],Inventarisatie[Locatie],$BC212,Inventarisatie[Freq. Ma-Vr],$C212,Inventarisatie[Categorie],D$2)</f>
        <v>0</v>
      </c>
      <c r="E212" s="192">
        <f ca="1">SUMIFS(Inventarisatie[Oppervlakte],Inventarisatie[Locatie],$BC212,Inventarisatie[Freq. Ma-Vr],$C212,Inventarisatie[Categorie],E$2)</f>
        <v>0</v>
      </c>
      <c r="F212" s="192">
        <f ca="1">SUMIFS(Inventarisatie[Oppervlakte],Inventarisatie[Locatie],$BC212,Inventarisatie[Freq. Ma-Vr],$C212,Inventarisatie[Categorie],F$2)</f>
        <v>0</v>
      </c>
      <c r="G212" s="192">
        <f>SUMIFS(Inventarisatie[Oppervlakte],Inventarisatie[Locatie],$BC212,Inventarisatie[Freq. Ma-Vr],$C212,Inventarisatie[Categorie],G$2)</f>
        <v>0</v>
      </c>
      <c r="H212" s="192">
        <f>SUMIFS(Inventarisatie[Oppervlakte],Inventarisatie[Locatie],$BC212,Inventarisatie[Freq. Ma-Vr],$C212,Inventarisatie[Categorie],H$2)</f>
        <v>0</v>
      </c>
      <c r="I212" s="472">
        <f ca="1">SUMIFS(Inventarisatie[Oppervlakte],Inventarisatie[Locatie],$BC212,Inventarisatie[Freq. Ma-Vr],$C212,Inventarisatie[Categorie],I$2)</f>
        <v>0</v>
      </c>
      <c r="J212" s="472">
        <f ca="1">SUMIFS(Inventarisatie[Oppervlakte],Inventarisatie[Locatie],$BC212,Inventarisatie[Freq. Ma-Vr],$C212,Inventarisatie[Categorie],J$2)</f>
        <v>0</v>
      </c>
      <c r="K212" s="529"/>
      <c r="L212" s="316" t="b">
        <f>IF(_xlfn.XLOOKUP(BC212,Tabel2[Locatiecode],Tabel2[Type locatie],"",0)="vaccin",TRUE,FALSE)</f>
        <v>0</v>
      </c>
      <c r="BD212" s="9" t="str">
        <f t="shared" ca="1" si="3"/>
        <v/>
      </c>
    </row>
    <row r="213" spans="1:56" ht="0.2" customHeight="1" x14ac:dyDescent="0.2">
      <c r="A213" s="172" cm="1">
        <f t="array" aca="1" ref="A213" ca="1">_xlfn.IFS(SUM(D213:J213)&gt;0,1,OFFSET($K213,-MOD(BB213+4,5),0)=0,2,TRUE,0)</f>
        <v>2</v>
      </c>
      <c r="B213" s="527">
        <f>BC213</f>
        <v>0</v>
      </c>
      <c r="C213" s="208">
        <v>255</v>
      </c>
      <c r="D213" s="194">
        <f ca="1">SUMIFS(Inventarisatie[Oppervlakte],Inventarisatie[Locatie],$BC213,Inventarisatie[Freq. Ma-Vr],$C213,Inventarisatie[Categorie],D$2)</f>
        <v>0</v>
      </c>
      <c r="E213" s="192">
        <f ca="1">SUMIFS(Inventarisatie[Oppervlakte],Inventarisatie[Locatie],$BC213,Inventarisatie[Freq. Ma-Vr],$C213,Inventarisatie[Categorie],E$2)</f>
        <v>0</v>
      </c>
      <c r="F213" s="192">
        <f ca="1">SUMIFS(Inventarisatie[Oppervlakte],Inventarisatie[Locatie],$BC213,Inventarisatie[Freq. Ma-Vr],$C213,Inventarisatie[Categorie],F$2)</f>
        <v>0</v>
      </c>
      <c r="G213" s="192">
        <f ca="1">SUMIFS(Inventarisatie[Oppervlakte],Inventarisatie[Locatie],$BC213,Inventarisatie[Freq. Ma-Vr],$C213,Inventarisatie[Categorie],G$2)</f>
        <v>0</v>
      </c>
      <c r="H213" s="192">
        <f>SUMIFS(Inventarisatie[Oppervlakte],Inventarisatie[Locatie],$BC213,Inventarisatie[Freq. Ma-Vr],$C213,Inventarisatie[Categorie],H$2)</f>
        <v>0</v>
      </c>
      <c r="I213" s="472">
        <f>SUMIFS(Inventarisatie[Oppervlakte],Inventarisatie[Locatie],$BC213,Inventarisatie[Freq. Ma-Vr],$C213,Inventarisatie[Categorie],I$2)</f>
        <v>0</v>
      </c>
      <c r="J213" s="472">
        <f>SUMIFS(Inventarisatie[Oppervlakte],Inventarisatie[Locatie],$BC213,Inventarisatie[Freq. Ma-Vr],$C213,Inventarisatie[Categorie],J$2)</f>
        <v>0</v>
      </c>
      <c r="K213" s="528">
        <f ca="1">SUM(D213:J218)</f>
        <v>0</v>
      </c>
      <c r="L213" s="316" t="b">
        <f>IF(_xlfn.XLOOKUP(BC213,Tabel2[Locatiecode],Tabel2[Type locatie],"",0)="vaccin",TRUE,FALSE)</f>
        <v>0</v>
      </c>
      <c r="BD213" s="9" t="str">
        <f t="shared" ca="1" si="3"/>
        <v/>
      </c>
    </row>
    <row r="214" spans="1:56" ht="0.2" customHeight="1" x14ac:dyDescent="0.2">
      <c r="A214" s="172" cm="1">
        <f t="array" aca="1" ref="A214" ca="1">_xlfn.IFS(SUM(D214:J214)&gt;0,1,OFFSET($K214,-MOD(BB214+4,5),0)=0,2,TRUE,0)</f>
        <v>2</v>
      </c>
      <c r="B214" s="527"/>
      <c r="C214" s="208">
        <v>204</v>
      </c>
      <c r="D214" s="194">
        <f ca="1">SUMIFS(Inventarisatie[Oppervlakte],Inventarisatie[Locatie],$BC214,Inventarisatie[Freq. Ma-Vr],$C214,Inventarisatie[Categorie],D$2)</f>
        <v>0</v>
      </c>
      <c r="E214" s="192">
        <f ca="1">SUMIFS(Inventarisatie[Oppervlakte],Inventarisatie[Locatie],$BC214,Inventarisatie[Freq. Ma-Vr],$C214,Inventarisatie[Categorie],E$2)</f>
        <v>0</v>
      </c>
      <c r="F214" s="192">
        <f ca="1">SUMIFS(Inventarisatie[Oppervlakte],Inventarisatie[Locatie],$BC214,Inventarisatie[Freq. Ma-Vr],$C214,Inventarisatie[Categorie],F$2)</f>
        <v>0</v>
      </c>
      <c r="G214" s="192">
        <f ca="1">SUMIFS(Inventarisatie[Oppervlakte],Inventarisatie[Locatie],$BC214,Inventarisatie[Freq. Ma-Vr],$C214,Inventarisatie[Categorie],G$2)</f>
        <v>0</v>
      </c>
      <c r="H214" s="192">
        <f ca="1">SUMIFS(Inventarisatie[Oppervlakte],Inventarisatie[Locatie],$BC214,Inventarisatie[Freq. Ma-Vr],$C214,Inventarisatie[Categorie],H$2)</f>
        <v>0</v>
      </c>
      <c r="I214" s="472">
        <f>SUMIFS(Inventarisatie[Oppervlakte],Inventarisatie[Locatie],$BC214,Inventarisatie[Freq. Ma-Vr],$C214,Inventarisatie[Categorie],I$2)</f>
        <v>0</v>
      </c>
      <c r="J214" s="472">
        <f>SUMIFS(Inventarisatie[Oppervlakte],Inventarisatie[Locatie],$BC214,Inventarisatie[Freq. Ma-Vr],$C214,Inventarisatie[Categorie],J$2)</f>
        <v>0</v>
      </c>
      <c r="K214" s="528"/>
      <c r="L214" s="316" t="b">
        <f>IF(_xlfn.XLOOKUP(BC214,Tabel2[Locatiecode],Tabel2[Type locatie],"",0)="vaccin",TRUE,FALSE)</f>
        <v>0</v>
      </c>
      <c r="BD214" s="9" t="str">
        <f t="shared" ca="1" si="3"/>
        <v/>
      </c>
    </row>
    <row r="215" spans="1:56" ht="0.2" customHeight="1" x14ac:dyDescent="0.2">
      <c r="A215" s="172" cm="1">
        <f t="array" aca="1" ref="A215" ca="1">_xlfn.IFS(SUM(D215:J215)&gt;0,1,OFFSET($K215,-MOD(BB215+4,5),0)=0,2,TRUE,0)</f>
        <v>2</v>
      </c>
      <c r="B215" s="527"/>
      <c r="C215" s="208">
        <v>156</v>
      </c>
      <c r="D215" s="194">
        <f ca="1">SUMIFS(Inventarisatie[Oppervlakte],Inventarisatie[Locatie],$BC215,Inventarisatie[Freq. Ma-Vr],$C215,Inventarisatie[Categorie],D$2)</f>
        <v>0</v>
      </c>
      <c r="E215" s="192">
        <f ca="1">SUMIFS(Inventarisatie[Oppervlakte],Inventarisatie[Locatie],$BC215,Inventarisatie[Freq. Ma-Vr],$C215,Inventarisatie[Categorie],E$2)</f>
        <v>0</v>
      </c>
      <c r="F215" s="192">
        <f ca="1">SUMIFS(Inventarisatie[Oppervlakte],Inventarisatie[Locatie],$BC215,Inventarisatie[Freq. Ma-Vr],$C215,Inventarisatie[Categorie],F$2)</f>
        <v>0</v>
      </c>
      <c r="G215" s="192">
        <f ca="1">SUMIFS(Inventarisatie[Oppervlakte],Inventarisatie[Locatie],$BC215,Inventarisatie[Freq. Ma-Vr],$C215,Inventarisatie[Categorie],G$2)</f>
        <v>0</v>
      </c>
      <c r="H215" s="192">
        <f ca="1">SUMIFS(Inventarisatie[Oppervlakte],Inventarisatie[Locatie],$BC215,Inventarisatie[Freq. Ma-Vr],$C215,Inventarisatie[Categorie],H$2)</f>
        <v>0</v>
      </c>
      <c r="I215" s="472">
        <f ca="1">SUMIFS(Inventarisatie[Oppervlakte],Inventarisatie[Locatie],$BC215,Inventarisatie[Freq. Ma-Vr],$C215,Inventarisatie[Categorie],I$2)</f>
        <v>0</v>
      </c>
      <c r="J215" s="472">
        <f>SUMIFS(Inventarisatie[Oppervlakte],Inventarisatie[Locatie],$BC215,Inventarisatie[Freq. Ma-Vr],$C215,Inventarisatie[Categorie],J$2)</f>
        <v>0</v>
      </c>
      <c r="K215" s="529"/>
      <c r="L215" s="316" t="b">
        <f>IF(_xlfn.XLOOKUP(BC215,Tabel2[Locatiecode],Tabel2[Type locatie],"",0)="vaccin",TRUE,FALSE)</f>
        <v>0</v>
      </c>
      <c r="BD215" s="9" t="str">
        <f t="shared" ca="1" si="3"/>
        <v/>
      </c>
    </row>
    <row r="216" spans="1:56" ht="0.2" customHeight="1" x14ac:dyDescent="0.2">
      <c r="A216" s="172" cm="1">
        <f t="array" aca="1" ref="A216" ca="1">_xlfn.IFS(SUM(D216:J216)&gt;0,1,OFFSET($K216,-MOD(BB216+4,5),0)=0,2,TRUE,0)</f>
        <v>2</v>
      </c>
      <c r="B216" s="527"/>
      <c r="C216" s="208">
        <v>104</v>
      </c>
      <c r="D216" s="194">
        <f ca="1">SUMIFS(Inventarisatie[Oppervlakte],Inventarisatie[Locatie],$BC216,Inventarisatie[Freq. Ma-Vr],$C216,Inventarisatie[Categorie],D$2)</f>
        <v>0</v>
      </c>
      <c r="E216" s="192">
        <f>SUMIFS(Inventarisatie[Oppervlakte],Inventarisatie[Locatie],$BC216,Inventarisatie[Freq. Ma-Vr],$C216,Inventarisatie[Categorie],E$2)</f>
        <v>0</v>
      </c>
      <c r="F216" s="192">
        <f>SUMIFS(Inventarisatie[Oppervlakte],Inventarisatie[Locatie],$BC216,Inventarisatie[Freq. Ma-Vr],$C216,Inventarisatie[Categorie],F$2)</f>
        <v>0</v>
      </c>
      <c r="G216" s="192">
        <f ca="1">SUMIFS(Inventarisatie[Oppervlakte],Inventarisatie[Locatie],$BC216,Inventarisatie[Freq. Ma-Vr],$C216,Inventarisatie[Categorie],G$2)</f>
        <v>0</v>
      </c>
      <c r="H216" s="192">
        <f ca="1">SUMIFS(Inventarisatie[Oppervlakte],Inventarisatie[Locatie],$BC216,Inventarisatie[Freq. Ma-Vr],$C216,Inventarisatie[Categorie],H$2)</f>
        <v>0</v>
      </c>
      <c r="I216" s="472">
        <f ca="1">SUMIFS(Inventarisatie[Oppervlakte],Inventarisatie[Locatie],$BC216,Inventarisatie[Freq. Ma-Vr],$C216,Inventarisatie[Categorie],I$2)</f>
        <v>0</v>
      </c>
      <c r="J216" s="472">
        <f ca="1">SUMIFS(Inventarisatie[Oppervlakte],Inventarisatie[Locatie],$BC216,Inventarisatie[Freq. Ma-Vr],$C216,Inventarisatie[Categorie],J$2)</f>
        <v>0</v>
      </c>
      <c r="K216" s="529"/>
      <c r="L216" s="316" t="b">
        <f>IF(_xlfn.XLOOKUP(BC216,Tabel2[Locatiecode],Tabel2[Type locatie],"",0)="vaccin",TRUE,FALSE)</f>
        <v>0</v>
      </c>
      <c r="BD216" s="9" t="str">
        <f t="shared" ca="1" si="3"/>
        <v/>
      </c>
    </row>
    <row r="217" spans="1:56" ht="0.2" customHeight="1" x14ac:dyDescent="0.2">
      <c r="A217" s="172" cm="1">
        <f t="array" aca="1" ref="A217" ca="1">_xlfn.IFS(SUM(D217:J217)&gt;0,1,OFFSET($K217,-MOD(BB217+4,5),0)=0,2,TRUE,0)</f>
        <v>2</v>
      </c>
      <c r="B217" s="527"/>
      <c r="C217" s="208">
        <v>52</v>
      </c>
      <c r="D217" s="194">
        <f ca="1">SUMIFS(Inventarisatie[Oppervlakte],Inventarisatie[Locatie],$BC217,Inventarisatie[Freq. Ma-Vr],$C217,Inventarisatie[Categorie],D$2)</f>
        <v>0</v>
      </c>
      <c r="E217" s="192">
        <f>SUMIFS(Inventarisatie[Oppervlakte],Inventarisatie[Locatie],$BC217,Inventarisatie[Freq. Ma-Vr],$C217,Inventarisatie[Categorie],E$2)</f>
        <v>0</v>
      </c>
      <c r="F217" s="192">
        <f>SUMIFS(Inventarisatie[Oppervlakte],Inventarisatie[Locatie],$BC217,Inventarisatie[Freq. Ma-Vr],$C217,Inventarisatie[Categorie],F$2)</f>
        <v>0</v>
      </c>
      <c r="G217" s="192">
        <f ca="1">SUMIFS(Inventarisatie[Oppervlakte],Inventarisatie[Locatie],$BC217,Inventarisatie[Freq. Ma-Vr],$C217,Inventarisatie[Categorie],G$2)</f>
        <v>0</v>
      </c>
      <c r="H217" s="192">
        <f ca="1">SUMIFS(Inventarisatie[Oppervlakte],Inventarisatie[Locatie],$BC217,Inventarisatie[Freq. Ma-Vr],$C217,Inventarisatie[Categorie],H$2)</f>
        <v>0</v>
      </c>
      <c r="I217" s="472">
        <f ca="1">SUMIFS(Inventarisatie[Oppervlakte],Inventarisatie[Locatie],$BC217,Inventarisatie[Freq. Ma-Vr],$C217,Inventarisatie[Categorie],I$2)</f>
        <v>0</v>
      </c>
      <c r="J217" s="472">
        <f ca="1">SUMIFS(Inventarisatie[Oppervlakte],Inventarisatie[Locatie],$BC217,Inventarisatie[Freq. Ma-Vr],$C217,Inventarisatie[Categorie],J$2)</f>
        <v>0</v>
      </c>
      <c r="K217" s="529"/>
      <c r="L217" s="316" t="b">
        <f>IF(_xlfn.XLOOKUP(BC217,Tabel2[Locatiecode],Tabel2[Type locatie],"",0)="vaccin",TRUE,FALSE)</f>
        <v>0</v>
      </c>
      <c r="BD217" s="9" t="str">
        <f t="shared" ca="1" si="3"/>
        <v/>
      </c>
    </row>
    <row r="218" spans="1:56" ht="0.2" customHeight="1" x14ac:dyDescent="0.2">
      <c r="A218" s="172" cm="1">
        <f t="array" aca="1" ref="A218" ca="1">_xlfn.IFS(SUM(D218:J218)&gt;0,1,OFFSET($K218,-MOD(BB218+4,5),0)=0,2,TRUE,0)</f>
        <v>2</v>
      </c>
      <c r="B218" s="527"/>
      <c r="C218" s="208">
        <v>4</v>
      </c>
      <c r="D218" s="194">
        <f ca="1">SUMIFS(Inventarisatie[Oppervlakte],Inventarisatie[Locatie],$BC218,Inventarisatie[Freq. Ma-Vr],$C218,Inventarisatie[Categorie],D$2)</f>
        <v>0</v>
      </c>
      <c r="E218" s="192">
        <f>SUMIFS(Inventarisatie[Oppervlakte],Inventarisatie[Locatie],$BC218,Inventarisatie[Freq. Ma-Vr],$C218,Inventarisatie[Categorie],E$2)</f>
        <v>0</v>
      </c>
      <c r="F218" s="192">
        <f>SUMIFS(Inventarisatie[Oppervlakte],Inventarisatie[Locatie],$BC218,Inventarisatie[Freq. Ma-Vr],$C218,Inventarisatie[Categorie],F$2)</f>
        <v>0</v>
      </c>
      <c r="G218" s="192">
        <f ca="1">SUMIFS(Inventarisatie[Oppervlakte],Inventarisatie[Locatie],$BC218,Inventarisatie[Freq. Ma-Vr],$C218,Inventarisatie[Categorie],G$2)</f>
        <v>0</v>
      </c>
      <c r="H218" s="192">
        <f ca="1">SUMIFS(Inventarisatie[Oppervlakte],Inventarisatie[Locatie],$BC218,Inventarisatie[Freq. Ma-Vr],$C218,Inventarisatie[Categorie],H$2)</f>
        <v>0</v>
      </c>
      <c r="I218" s="472">
        <f ca="1">SUMIFS(Inventarisatie[Oppervlakte],Inventarisatie[Locatie],$BC218,Inventarisatie[Freq. Ma-Vr],$C218,Inventarisatie[Categorie],I$2)</f>
        <v>0</v>
      </c>
      <c r="J218" s="472">
        <f ca="1">SUMIFS(Inventarisatie[Oppervlakte],Inventarisatie[Locatie],$BC218,Inventarisatie[Freq. Ma-Vr],$C218,Inventarisatie[Categorie],J$2)</f>
        <v>0</v>
      </c>
      <c r="K218" s="529"/>
      <c r="L218" s="316" t="b">
        <f>IF(_xlfn.XLOOKUP(BC218,Tabel2[Locatiecode],Tabel2[Type locatie],"",0)="vaccin",TRUE,FALSE)</f>
        <v>0</v>
      </c>
      <c r="BD218" s="9" t="str">
        <f t="shared" ca="1" si="3"/>
        <v/>
      </c>
    </row>
    <row r="219" spans="1:56" ht="0.2" customHeight="1" x14ac:dyDescent="0.2">
      <c r="A219" s="172" cm="1">
        <f t="array" aca="1" ref="A219" ca="1">_xlfn.IFS(SUM(D219:J219)&gt;0,1,OFFSET($K219,-MOD(BB219+4,5),0)=0,2,TRUE,0)</f>
        <v>2</v>
      </c>
      <c r="B219" s="527">
        <f>BC219</f>
        <v>0</v>
      </c>
      <c r="C219" s="208">
        <v>255</v>
      </c>
      <c r="D219" s="194">
        <f ca="1">SUMIFS(Inventarisatie[Oppervlakte],Inventarisatie[Locatie],$BC219,Inventarisatie[Freq. Ma-Vr],$C219,Inventarisatie[Categorie],D$2)</f>
        <v>0</v>
      </c>
      <c r="E219" s="192">
        <f ca="1">SUMIFS(Inventarisatie[Oppervlakte],Inventarisatie[Locatie],$BC219,Inventarisatie[Freq. Ma-Vr],$C219,Inventarisatie[Categorie],E$2)</f>
        <v>0</v>
      </c>
      <c r="F219" s="192">
        <f>SUMIFS(Inventarisatie[Oppervlakte],Inventarisatie[Locatie],$BC219,Inventarisatie[Freq. Ma-Vr],$C219,Inventarisatie[Categorie],F$2)</f>
        <v>0</v>
      </c>
      <c r="G219" s="192">
        <f>SUMIFS(Inventarisatie[Oppervlakte],Inventarisatie[Locatie],$BC219,Inventarisatie[Freq. Ma-Vr],$C219,Inventarisatie[Categorie],G$2)</f>
        <v>0</v>
      </c>
      <c r="H219" s="192">
        <f>SUMIFS(Inventarisatie[Oppervlakte],Inventarisatie[Locatie],$BC219,Inventarisatie[Freq. Ma-Vr],$C219,Inventarisatie[Categorie],H$2)</f>
        <v>0</v>
      </c>
      <c r="I219" s="472">
        <f ca="1">SUMIFS(Inventarisatie[Oppervlakte],Inventarisatie[Locatie],$BC219,Inventarisatie[Freq. Ma-Vr],$C219,Inventarisatie[Categorie],I$2)</f>
        <v>0</v>
      </c>
      <c r="J219" s="472">
        <f ca="1">SUMIFS(Inventarisatie[Oppervlakte],Inventarisatie[Locatie],$BC219,Inventarisatie[Freq. Ma-Vr],$C219,Inventarisatie[Categorie],J$2)</f>
        <v>0</v>
      </c>
      <c r="K219" s="528">
        <f ca="1">SUM(D219:J224)</f>
        <v>0</v>
      </c>
      <c r="L219" s="316" t="b">
        <f>IF(_xlfn.XLOOKUP(BC219,Tabel2[Locatiecode],Tabel2[Type locatie],"",0)="vaccin",TRUE,FALSE)</f>
        <v>0</v>
      </c>
      <c r="BD219" s="9" t="str">
        <f t="shared" ca="1" si="3"/>
        <v/>
      </c>
    </row>
    <row r="220" spans="1:56" ht="0.2" customHeight="1" x14ac:dyDescent="0.2">
      <c r="A220" s="172" cm="1">
        <f t="array" aca="1" ref="A220" ca="1">_xlfn.IFS(SUM(D220:J220)&gt;0,1,OFFSET($K220,-MOD(BB220+4,5),0)=0,2,TRUE,0)</f>
        <v>2</v>
      </c>
      <c r="B220" s="527"/>
      <c r="C220" s="208">
        <v>204</v>
      </c>
      <c r="D220" s="194">
        <f ca="1">SUMIFS(Inventarisatie[Oppervlakte],Inventarisatie[Locatie],$BC220,Inventarisatie[Freq. Ma-Vr],$C220,Inventarisatie[Categorie],D$2)</f>
        <v>0</v>
      </c>
      <c r="E220" s="192">
        <f ca="1">SUMIFS(Inventarisatie[Oppervlakte],Inventarisatie[Locatie],$BC220,Inventarisatie[Freq. Ma-Vr],$C220,Inventarisatie[Categorie],E$2)</f>
        <v>0</v>
      </c>
      <c r="F220" s="192">
        <f ca="1">SUMIFS(Inventarisatie[Oppervlakte],Inventarisatie[Locatie],$BC220,Inventarisatie[Freq. Ma-Vr],$C220,Inventarisatie[Categorie],F$2)</f>
        <v>0</v>
      </c>
      <c r="G220" s="192">
        <f>SUMIFS(Inventarisatie[Oppervlakte],Inventarisatie[Locatie],$BC220,Inventarisatie[Freq. Ma-Vr],$C220,Inventarisatie[Categorie],G$2)</f>
        <v>0</v>
      </c>
      <c r="H220" s="192">
        <f>SUMIFS(Inventarisatie[Oppervlakte],Inventarisatie[Locatie],$BC220,Inventarisatie[Freq. Ma-Vr],$C220,Inventarisatie[Categorie],H$2)</f>
        <v>0</v>
      </c>
      <c r="I220" s="472">
        <f>SUMIFS(Inventarisatie[Oppervlakte],Inventarisatie[Locatie],$BC220,Inventarisatie[Freq. Ma-Vr],$C220,Inventarisatie[Categorie],I$2)</f>
        <v>0</v>
      </c>
      <c r="J220" s="472">
        <f ca="1">SUMIFS(Inventarisatie[Oppervlakte],Inventarisatie[Locatie],$BC220,Inventarisatie[Freq. Ma-Vr],$C220,Inventarisatie[Categorie],J$2)</f>
        <v>0</v>
      </c>
      <c r="K220" s="528"/>
      <c r="L220" s="316" t="b">
        <f>IF(_xlfn.XLOOKUP(BC220,Tabel2[Locatiecode],Tabel2[Type locatie],"",0)="vaccin",TRUE,FALSE)</f>
        <v>0</v>
      </c>
      <c r="BD220" s="9" t="str">
        <f t="shared" ca="1" si="3"/>
        <v/>
      </c>
    </row>
    <row r="221" spans="1:56" ht="0.2" customHeight="1" x14ac:dyDescent="0.2">
      <c r="A221" s="172" cm="1">
        <f t="array" aca="1" ref="A221" ca="1">_xlfn.IFS(SUM(D221:J221)&gt;0,1,OFFSET($K221,-MOD(BB221+4,5),0)=0,2,TRUE,0)</f>
        <v>2</v>
      </c>
      <c r="B221" s="527"/>
      <c r="C221" s="208">
        <v>156</v>
      </c>
      <c r="D221" s="194">
        <f ca="1">SUMIFS(Inventarisatie[Oppervlakte],Inventarisatie[Locatie],$BC221,Inventarisatie[Freq. Ma-Vr],$C221,Inventarisatie[Categorie],D$2)</f>
        <v>0</v>
      </c>
      <c r="E221" s="192">
        <f ca="1">SUMIFS(Inventarisatie[Oppervlakte],Inventarisatie[Locatie],$BC221,Inventarisatie[Freq. Ma-Vr],$C221,Inventarisatie[Categorie],E$2)</f>
        <v>0</v>
      </c>
      <c r="F221" s="192">
        <f ca="1">SUMIFS(Inventarisatie[Oppervlakte],Inventarisatie[Locatie],$BC221,Inventarisatie[Freq. Ma-Vr],$C221,Inventarisatie[Categorie],F$2)</f>
        <v>0</v>
      </c>
      <c r="G221" s="192">
        <f ca="1">SUMIFS(Inventarisatie[Oppervlakte],Inventarisatie[Locatie],$BC221,Inventarisatie[Freq. Ma-Vr],$C221,Inventarisatie[Categorie],G$2)</f>
        <v>0</v>
      </c>
      <c r="H221" s="192">
        <f>SUMIFS(Inventarisatie[Oppervlakte],Inventarisatie[Locatie],$BC221,Inventarisatie[Freq. Ma-Vr],$C221,Inventarisatie[Categorie],H$2)</f>
        <v>0</v>
      </c>
      <c r="I221" s="472">
        <f>SUMIFS(Inventarisatie[Oppervlakte],Inventarisatie[Locatie],$BC221,Inventarisatie[Freq. Ma-Vr],$C221,Inventarisatie[Categorie],I$2)</f>
        <v>0</v>
      </c>
      <c r="J221" s="472">
        <f>SUMIFS(Inventarisatie[Oppervlakte],Inventarisatie[Locatie],$BC221,Inventarisatie[Freq. Ma-Vr],$C221,Inventarisatie[Categorie],J$2)</f>
        <v>0</v>
      </c>
      <c r="K221" s="529"/>
      <c r="L221" s="316" t="b">
        <f>IF(_xlfn.XLOOKUP(BC221,Tabel2[Locatiecode],Tabel2[Type locatie],"",0)="vaccin",TRUE,FALSE)</f>
        <v>0</v>
      </c>
      <c r="BD221" s="9" t="str">
        <f t="shared" ca="1" si="3"/>
        <v/>
      </c>
    </row>
    <row r="222" spans="1:56" ht="0.2" customHeight="1" x14ac:dyDescent="0.2">
      <c r="A222" s="172" cm="1">
        <f t="array" aca="1" ref="A222" ca="1">_xlfn.IFS(SUM(D222:J222)&gt;0,1,OFFSET($K222,-MOD(BB222+4,5),0)=0,2,TRUE,0)</f>
        <v>2</v>
      </c>
      <c r="B222" s="527"/>
      <c r="C222" s="208">
        <v>104</v>
      </c>
      <c r="D222" s="194">
        <f ca="1">SUMIFS(Inventarisatie[Oppervlakte],Inventarisatie[Locatie],$BC222,Inventarisatie[Freq. Ma-Vr],$C222,Inventarisatie[Categorie],D$2)</f>
        <v>0</v>
      </c>
      <c r="E222" s="192">
        <f ca="1">SUMIFS(Inventarisatie[Oppervlakte],Inventarisatie[Locatie],$BC222,Inventarisatie[Freq. Ma-Vr],$C222,Inventarisatie[Categorie],E$2)</f>
        <v>0</v>
      </c>
      <c r="F222" s="192">
        <f ca="1">SUMIFS(Inventarisatie[Oppervlakte],Inventarisatie[Locatie],$BC222,Inventarisatie[Freq. Ma-Vr],$C222,Inventarisatie[Categorie],F$2)</f>
        <v>0</v>
      </c>
      <c r="G222" s="192">
        <f ca="1">SUMIFS(Inventarisatie[Oppervlakte],Inventarisatie[Locatie],$BC222,Inventarisatie[Freq. Ma-Vr],$C222,Inventarisatie[Categorie],G$2)</f>
        <v>0</v>
      </c>
      <c r="H222" s="192">
        <f ca="1">SUMIFS(Inventarisatie[Oppervlakte],Inventarisatie[Locatie],$BC222,Inventarisatie[Freq. Ma-Vr],$C222,Inventarisatie[Categorie],H$2)</f>
        <v>0</v>
      </c>
      <c r="I222" s="472">
        <f>SUMIFS(Inventarisatie[Oppervlakte],Inventarisatie[Locatie],$BC222,Inventarisatie[Freq. Ma-Vr],$C222,Inventarisatie[Categorie],I$2)</f>
        <v>0</v>
      </c>
      <c r="J222" s="472">
        <f>SUMIFS(Inventarisatie[Oppervlakte],Inventarisatie[Locatie],$BC222,Inventarisatie[Freq. Ma-Vr],$C222,Inventarisatie[Categorie],J$2)</f>
        <v>0</v>
      </c>
      <c r="K222" s="529"/>
      <c r="L222" s="316" t="b">
        <f>IF(_xlfn.XLOOKUP(BC222,Tabel2[Locatiecode],Tabel2[Type locatie],"",0)="vaccin",TRUE,FALSE)</f>
        <v>0</v>
      </c>
      <c r="BD222" s="9" t="str">
        <f t="shared" ca="1" si="3"/>
        <v/>
      </c>
    </row>
    <row r="223" spans="1:56" ht="0.2" customHeight="1" x14ac:dyDescent="0.2">
      <c r="A223" s="172" cm="1">
        <f t="array" aca="1" ref="A223" ca="1">_xlfn.IFS(SUM(D223:J223)&gt;0,1,OFFSET($K223,-MOD(BB223+4,5),0)=0,2,TRUE,0)</f>
        <v>2</v>
      </c>
      <c r="B223" s="527"/>
      <c r="C223" s="208">
        <v>52</v>
      </c>
      <c r="D223" s="194">
        <f ca="1">SUMIFS(Inventarisatie[Oppervlakte],Inventarisatie[Locatie],$BC223,Inventarisatie[Freq. Ma-Vr],$C223,Inventarisatie[Categorie],D$2)</f>
        <v>0</v>
      </c>
      <c r="E223" s="192">
        <f ca="1">SUMIFS(Inventarisatie[Oppervlakte],Inventarisatie[Locatie],$BC223,Inventarisatie[Freq. Ma-Vr],$C223,Inventarisatie[Categorie],E$2)</f>
        <v>0</v>
      </c>
      <c r="F223" s="192">
        <f ca="1">SUMIFS(Inventarisatie[Oppervlakte],Inventarisatie[Locatie],$BC223,Inventarisatie[Freq. Ma-Vr],$C223,Inventarisatie[Categorie],F$2)</f>
        <v>0</v>
      </c>
      <c r="G223" s="192">
        <f ca="1">SUMIFS(Inventarisatie[Oppervlakte],Inventarisatie[Locatie],$BC223,Inventarisatie[Freq. Ma-Vr],$C223,Inventarisatie[Categorie],G$2)</f>
        <v>0</v>
      </c>
      <c r="H223" s="192">
        <f ca="1">SUMIFS(Inventarisatie[Oppervlakte],Inventarisatie[Locatie],$BC223,Inventarisatie[Freq. Ma-Vr],$C223,Inventarisatie[Categorie],H$2)</f>
        <v>0</v>
      </c>
      <c r="I223" s="472">
        <f ca="1">SUMIFS(Inventarisatie[Oppervlakte],Inventarisatie[Locatie],$BC223,Inventarisatie[Freq. Ma-Vr],$C223,Inventarisatie[Categorie],I$2)</f>
        <v>0</v>
      </c>
      <c r="J223" s="472">
        <f>SUMIFS(Inventarisatie[Oppervlakte],Inventarisatie[Locatie],$BC223,Inventarisatie[Freq. Ma-Vr],$C223,Inventarisatie[Categorie],J$2)</f>
        <v>0</v>
      </c>
      <c r="K223" s="529"/>
      <c r="L223" s="316" t="b">
        <f>IF(_xlfn.XLOOKUP(BC223,Tabel2[Locatiecode],Tabel2[Type locatie],"",0)="vaccin",TRUE,FALSE)</f>
        <v>0</v>
      </c>
      <c r="BD223" s="9" t="str">
        <f t="shared" ca="1" si="3"/>
        <v/>
      </c>
    </row>
    <row r="224" spans="1:56" ht="0.2" customHeight="1" x14ac:dyDescent="0.2">
      <c r="A224" s="172" cm="1">
        <f t="array" aca="1" ref="A224" ca="1">_xlfn.IFS(SUM(D224:J224)&gt;0,1,OFFSET($K224,-MOD(BB224+4,5),0)=0,2,TRUE,0)</f>
        <v>2</v>
      </c>
      <c r="B224" s="527"/>
      <c r="C224" s="208">
        <v>4</v>
      </c>
      <c r="D224" s="194">
        <f ca="1">SUMIFS(Inventarisatie[Oppervlakte],Inventarisatie[Locatie],$BC224,Inventarisatie[Freq. Ma-Vr],$C224,Inventarisatie[Categorie],D$2)</f>
        <v>0</v>
      </c>
      <c r="E224" s="192">
        <f ca="1">SUMIFS(Inventarisatie[Oppervlakte],Inventarisatie[Locatie],$BC224,Inventarisatie[Freq. Ma-Vr],$C224,Inventarisatie[Categorie],E$2)</f>
        <v>0</v>
      </c>
      <c r="F224" s="192">
        <f ca="1">SUMIFS(Inventarisatie[Oppervlakte],Inventarisatie[Locatie],$BC224,Inventarisatie[Freq. Ma-Vr],$C224,Inventarisatie[Categorie],F$2)</f>
        <v>0</v>
      </c>
      <c r="G224" s="192">
        <f ca="1">SUMIFS(Inventarisatie[Oppervlakte],Inventarisatie[Locatie],$BC224,Inventarisatie[Freq. Ma-Vr],$C224,Inventarisatie[Categorie],G$2)</f>
        <v>0</v>
      </c>
      <c r="H224" s="192">
        <f ca="1">SUMIFS(Inventarisatie[Oppervlakte],Inventarisatie[Locatie],$BC224,Inventarisatie[Freq. Ma-Vr],$C224,Inventarisatie[Categorie],H$2)</f>
        <v>0</v>
      </c>
      <c r="I224" s="472">
        <f ca="1">SUMIFS(Inventarisatie[Oppervlakte],Inventarisatie[Locatie],$BC224,Inventarisatie[Freq. Ma-Vr],$C224,Inventarisatie[Categorie],I$2)</f>
        <v>0</v>
      </c>
      <c r="J224" s="472">
        <f ca="1">SUMIFS(Inventarisatie[Oppervlakte],Inventarisatie[Locatie],$BC224,Inventarisatie[Freq. Ma-Vr],$C224,Inventarisatie[Categorie],J$2)</f>
        <v>0</v>
      </c>
      <c r="K224" s="529"/>
      <c r="L224" s="316" t="b">
        <f>IF(_xlfn.XLOOKUP(BC224,Tabel2[Locatiecode],Tabel2[Type locatie],"",0)="vaccin",TRUE,FALSE)</f>
        <v>0</v>
      </c>
      <c r="BD224" s="9" t="str">
        <f t="shared" ca="1" si="3"/>
        <v/>
      </c>
    </row>
    <row r="225" spans="1:56" ht="0.2" customHeight="1" x14ac:dyDescent="0.2">
      <c r="A225" s="172" cm="1">
        <f t="array" aca="1" ref="A225" ca="1">_xlfn.IFS(SUM(D225:J225)&gt;0,1,OFFSET($K225,-MOD(BB225+4,5),0)=0,2,TRUE,0)</f>
        <v>2</v>
      </c>
      <c r="B225" s="527">
        <f>BC225</f>
        <v>0</v>
      </c>
      <c r="C225" s="208">
        <v>255</v>
      </c>
      <c r="D225" s="194">
        <f ca="1">SUMIFS(Inventarisatie[Oppervlakte],Inventarisatie[Locatie],$BC225,Inventarisatie[Freq. Ma-Vr],$C225,Inventarisatie[Categorie],D$2)</f>
        <v>0</v>
      </c>
      <c r="E225" s="192">
        <f>SUMIFS(Inventarisatie[Oppervlakte],Inventarisatie[Locatie],$BC225,Inventarisatie[Freq. Ma-Vr],$C225,Inventarisatie[Categorie],E$2)</f>
        <v>0</v>
      </c>
      <c r="F225" s="192">
        <f>SUMIFS(Inventarisatie[Oppervlakte],Inventarisatie[Locatie],$BC225,Inventarisatie[Freq. Ma-Vr],$C225,Inventarisatie[Categorie],F$2)</f>
        <v>0</v>
      </c>
      <c r="G225" s="192">
        <f ca="1">SUMIFS(Inventarisatie[Oppervlakte],Inventarisatie[Locatie],$BC225,Inventarisatie[Freq. Ma-Vr],$C225,Inventarisatie[Categorie],G$2)</f>
        <v>0</v>
      </c>
      <c r="H225" s="192">
        <f ca="1">SUMIFS(Inventarisatie[Oppervlakte],Inventarisatie[Locatie],$BC225,Inventarisatie[Freq. Ma-Vr],$C225,Inventarisatie[Categorie],H$2)</f>
        <v>0</v>
      </c>
      <c r="I225" s="472">
        <f ca="1">SUMIFS(Inventarisatie[Oppervlakte],Inventarisatie[Locatie],$BC225,Inventarisatie[Freq. Ma-Vr],$C225,Inventarisatie[Categorie],I$2)</f>
        <v>0</v>
      </c>
      <c r="J225" s="472">
        <f ca="1">SUMIFS(Inventarisatie[Oppervlakte],Inventarisatie[Locatie],$BC225,Inventarisatie[Freq. Ma-Vr],$C225,Inventarisatie[Categorie],J$2)</f>
        <v>0</v>
      </c>
      <c r="K225" s="528">
        <f ca="1">SUM(D225:J230)</f>
        <v>0</v>
      </c>
      <c r="L225" s="316" t="b">
        <f>IF(_xlfn.XLOOKUP(BC225,Tabel2[Locatiecode],Tabel2[Type locatie],"",0)="vaccin",TRUE,FALSE)</f>
        <v>0</v>
      </c>
      <c r="BD225" s="9" t="str">
        <f t="shared" ca="1" si="3"/>
        <v/>
      </c>
    </row>
    <row r="226" spans="1:56" ht="0.2" customHeight="1" x14ac:dyDescent="0.2">
      <c r="A226" s="172" cm="1">
        <f t="array" aca="1" ref="A226" ca="1">_xlfn.IFS(SUM(D226:J226)&gt;0,1,OFFSET($K226,-MOD(BB226+4,5),0)=0,2,TRUE,0)</f>
        <v>2</v>
      </c>
      <c r="B226" s="527"/>
      <c r="C226" s="208">
        <v>204</v>
      </c>
      <c r="D226" s="194">
        <f ca="1">SUMIFS(Inventarisatie[Oppervlakte],Inventarisatie[Locatie],$BC226,Inventarisatie[Freq. Ma-Vr],$C226,Inventarisatie[Categorie],D$2)</f>
        <v>0</v>
      </c>
      <c r="E226" s="192">
        <f>SUMIFS(Inventarisatie[Oppervlakte],Inventarisatie[Locatie],$BC226,Inventarisatie[Freq. Ma-Vr],$C226,Inventarisatie[Categorie],E$2)</f>
        <v>0</v>
      </c>
      <c r="F226" s="192">
        <f>SUMIFS(Inventarisatie[Oppervlakte],Inventarisatie[Locatie],$BC226,Inventarisatie[Freq. Ma-Vr],$C226,Inventarisatie[Categorie],F$2)</f>
        <v>0</v>
      </c>
      <c r="G226" s="192">
        <f ca="1">SUMIFS(Inventarisatie[Oppervlakte],Inventarisatie[Locatie],$BC226,Inventarisatie[Freq. Ma-Vr],$C226,Inventarisatie[Categorie],G$2)</f>
        <v>0</v>
      </c>
      <c r="H226" s="192">
        <f ca="1">SUMIFS(Inventarisatie[Oppervlakte],Inventarisatie[Locatie],$BC226,Inventarisatie[Freq. Ma-Vr],$C226,Inventarisatie[Categorie],H$2)</f>
        <v>0</v>
      </c>
      <c r="I226" s="472">
        <f ca="1">SUMIFS(Inventarisatie[Oppervlakte],Inventarisatie[Locatie],$BC226,Inventarisatie[Freq. Ma-Vr],$C226,Inventarisatie[Categorie],I$2)</f>
        <v>0</v>
      </c>
      <c r="J226" s="472">
        <f ca="1">SUMIFS(Inventarisatie[Oppervlakte],Inventarisatie[Locatie],$BC226,Inventarisatie[Freq. Ma-Vr],$C226,Inventarisatie[Categorie],J$2)</f>
        <v>0</v>
      </c>
      <c r="K226" s="528"/>
      <c r="L226" s="316" t="b">
        <f>IF(_xlfn.XLOOKUP(BC226,Tabel2[Locatiecode],Tabel2[Type locatie],"",0)="vaccin",TRUE,FALSE)</f>
        <v>0</v>
      </c>
      <c r="BD226" s="9" t="str">
        <f t="shared" ca="1" si="3"/>
        <v/>
      </c>
    </row>
    <row r="227" spans="1:56" ht="0.2" customHeight="1" x14ac:dyDescent="0.2">
      <c r="A227" s="172" cm="1">
        <f t="array" aca="1" ref="A227" ca="1">_xlfn.IFS(SUM(D227:J227)&gt;0,1,OFFSET($K227,-MOD(BB227+4,5),0)=0,2,TRUE,0)</f>
        <v>2</v>
      </c>
      <c r="B227" s="527"/>
      <c r="C227" s="208">
        <v>156</v>
      </c>
      <c r="D227" s="194">
        <f ca="1">SUMIFS(Inventarisatie[Oppervlakte],Inventarisatie[Locatie],$BC227,Inventarisatie[Freq. Ma-Vr],$C227,Inventarisatie[Categorie],D$2)</f>
        <v>0</v>
      </c>
      <c r="E227" s="192">
        <f ca="1">SUMIFS(Inventarisatie[Oppervlakte],Inventarisatie[Locatie],$BC227,Inventarisatie[Freq. Ma-Vr],$C227,Inventarisatie[Categorie],E$2)</f>
        <v>0</v>
      </c>
      <c r="F227" s="192">
        <f>SUMIFS(Inventarisatie[Oppervlakte],Inventarisatie[Locatie],$BC227,Inventarisatie[Freq. Ma-Vr],$C227,Inventarisatie[Categorie],F$2)</f>
        <v>0</v>
      </c>
      <c r="G227" s="192">
        <f>SUMIFS(Inventarisatie[Oppervlakte],Inventarisatie[Locatie],$BC227,Inventarisatie[Freq. Ma-Vr],$C227,Inventarisatie[Categorie],G$2)</f>
        <v>0</v>
      </c>
      <c r="H227" s="192">
        <f ca="1">SUMIFS(Inventarisatie[Oppervlakte],Inventarisatie[Locatie],$BC227,Inventarisatie[Freq. Ma-Vr],$C227,Inventarisatie[Categorie],H$2)</f>
        <v>0</v>
      </c>
      <c r="I227" s="472">
        <f ca="1">SUMIFS(Inventarisatie[Oppervlakte],Inventarisatie[Locatie],$BC227,Inventarisatie[Freq. Ma-Vr],$C227,Inventarisatie[Categorie],I$2)</f>
        <v>0</v>
      </c>
      <c r="J227" s="472">
        <f ca="1">SUMIFS(Inventarisatie[Oppervlakte],Inventarisatie[Locatie],$BC227,Inventarisatie[Freq. Ma-Vr],$C227,Inventarisatie[Categorie],J$2)</f>
        <v>0</v>
      </c>
      <c r="K227" s="529"/>
      <c r="L227" s="316" t="b">
        <f>IF(_xlfn.XLOOKUP(BC227,Tabel2[Locatiecode],Tabel2[Type locatie],"",0)="vaccin",TRUE,FALSE)</f>
        <v>0</v>
      </c>
      <c r="BD227" s="9" t="str">
        <f t="shared" ca="1" si="3"/>
        <v/>
      </c>
    </row>
    <row r="228" spans="1:56" ht="0.2" customHeight="1" x14ac:dyDescent="0.2">
      <c r="A228" s="172" cm="1">
        <f t="array" aca="1" ref="A228" ca="1">_xlfn.IFS(SUM(D228:J228)&gt;0,1,OFFSET($K228,-MOD(BB228+4,5),0)=0,2,TRUE,0)</f>
        <v>2</v>
      </c>
      <c r="B228" s="527"/>
      <c r="C228" s="208">
        <v>104</v>
      </c>
      <c r="D228" s="194">
        <f ca="1">SUMIFS(Inventarisatie[Oppervlakte],Inventarisatie[Locatie],$BC228,Inventarisatie[Freq. Ma-Vr],$C228,Inventarisatie[Categorie],D$2)</f>
        <v>0</v>
      </c>
      <c r="E228" s="192">
        <f ca="1">SUMIFS(Inventarisatie[Oppervlakte],Inventarisatie[Locatie],$BC228,Inventarisatie[Freq. Ma-Vr],$C228,Inventarisatie[Categorie],E$2)</f>
        <v>0</v>
      </c>
      <c r="F228" s="192">
        <f ca="1">SUMIFS(Inventarisatie[Oppervlakte],Inventarisatie[Locatie],$BC228,Inventarisatie[Freq. Ma-Vr],$C228,Inventarisatie[Categorie],F$2)</f>
        <v>0</v>
      </c>
      <c r="G228" s="192">
        <f>SUMIFS(Inventarisatie[Oppervlakte],Inventarisatie[Locatie],$BC228,Inventarisatie[Freq. Ma-Vr],$C228,Inventarisatie[Categorie],G$2)</f>
        <v>0</v>
      </c>
      <c r="H228" s="192">
        <f>SUMIFS(Inventarisatie[Oppervlakte],Inventarisatie[Locatie],$BC228,Inventarisatie[Freq. Ma-Vr],$C228,Inventarisatie[Categorie],H$2)</f>
        <v>0</v>
      </c>
      <c r="I228" s="472">
        <f ca="1">SUMIFS(Inventarisatie[Oppervlakte],Inventarisatie[Locatie],$BC228,Inventarisatie[Freq. Ma-Vr],$C228,Inventarisatie[Categorie],I$2)</f>
        <v>0</v>
      </c>
      <c r="J228" s="472">
        <f ca="1">SUMIFS(Inventarisatie[Oppervlakte],Inventarisatie[Locatie],$BC228,Inventarisatie[Freq. Ma-Vr],$C228,Inventarisatie[Categorie],J$2)</f>
        <v>0</v>
      </c>
      <c r="K228" s="529"/>
      <c r="L228" s="316" t="b">
        <f>IF(_xlfn.XLOOKUP(BC228,Tabel2[Locatiecode],Tabel2[Type locatie],"",0)="vaccin",TRUE,FALSE)</f>
        <v>0</v>
      </c>
      <c r="BD228" s="9" t="str">
        <f t="shared" ca="1" si="3"/>
        <v/>
      </c>
    </row>
    <row r="229" spans="1:56" ht="0.2" customHeight="1" x14ac:dyDescent="0.2">
      <c r="A229" s="172" cm="1">
        <f t="array" aca="1" ref="A229" ca="1">_xlfn.IFS(SUM(D229:J229)&gt;0,1,OFFSET($K229,-MOD(BB229+4,5),0)=0,2,TRUE,0)</f>
        <v>2</v>
      </c>
      <c r="B229" s="527"/>
      <c r="C229" s="208">
        <v>52</v>
      </c>
      <c r="D229" s="194">
        <f ca="1">SUMIFS(Inventarisatie[Oppervlakte],Inventarisatie[Locatie],$BC229,Inventarisatie[Freq. Ma-Vr],$C229,Inventarisatie[Categorie],D$2)</f>
        <v>0</v>
      </c>
      <c r="E229" s="192">
        <f ca="1">SUMIFS(Inventarisatie[Oppervlakte],Inventarisatie[Locatie],$BC229,Inventarisatie[Freq. Ma-Vr],$C229,Inventarisatie[Categorie],E$2)</f>
        <v>0</v>
      </c>
      <c r="F229" s="192">
        <f ca="1">SUMIFS(Inventarisatie[Oppervlakte],Inventarisatie[Locatie],$BC229,Inventarisatie[Freq. Ma-Vr],$C229,Inventarisatie[Categorie],F$2)</f>
        <v>0</v>
      </c>
      <c r="G229" s="192">
        <f ca="1">SUMIFS(Inventarisatie[Oppervlakte],Inventarisatie[Locatie],$BC229,Inventarisatie[Freq. Ma-Vr],$C229,Inventarisatie[Categorie],G$2)</f>
        <v>0</v>
      </c>
      <c r="H229" s="192">
        <f>SUMIFS(Inventarisatie[Oppervlakte],Inventarisatie[Locatie],$BC229,Inventarisatie[Freq. Ma-Vr],$C229,Inventarisatie[Categorie],H$2)</f>
        <v>0</v>
      </c>
      <c r="I229" s="472">
        <f>SUMIFS(Inventarisatie[Oppervlakte],Inventarisatie[Locatie],$BC229,Inventarisatie[Freq. Ma-Vr],$C229,Inventarisatie[Categorie],I$2)</f>
        <v>0</v>
      </c>
      <c r="J229" s="472">
        <f>SUMIFS(Inventarisatie[Oppervlakte],Inventarisatie[Locatie],$BC229,Inventarisatie[Freq. Ma-Vr],$C229,Inventarisatie[Categorie],J$2)</f>
        <v>0</v>
      </c>
      <c r="K229" s="529"/>
      <c r="L229" s="316" t="b">
        <f>IF(_xlfn.XLOOKUP(BC229,Tabel2[Locatiecode],Tabel2[Type locatie],"",0)="vaccin",TRUE,FALSE)</f>
        <v>0</v>
      </c>
      <c r="BD229" s="9" t="str">
        <f t="shared" ca="1" si="3"/>
        <v/>
      </c>
    </row>
    <row r="230" spans="1:56" ht="0.2" customHeight="1" x14ac:dyDescent="0.2">
      <c r="A230" s="172" cm="1">
        <f t="array" aca="1" ref="A230" ca="1">_xlfn.IFS(SUM(D230:J230)&gt;0,1,OFFSET($K230,-MOD(BB230+4,5),0)=0,2,TRUE,0)</f>
        <v>2</v>
      </c>
      <c r="B230" s="527"/>
      <c r="C230" s="208">
        <v>4</v>
      </c>
      <c r="D230" s="194">
        <f ca="1">SUMIFS(Inventarisatie[Oppervlakte],Inventarisatie[Locatie],$BC230,Inventarisatie[Freq. Ma-Vr],$C230,Inventarisatie[Categorie],D$2)</f>
        <v>0</v>
      </c>
      <c r="E230" s="192">
        <f ca="1">SUMIFS(Inventarisatie[Oppervlakte],Inventarisatie[Locatie],$BC230,Inventarisatie[Freq. Ma-Vr],$C230,Inventarisatie[Categorie],E$2)</f>
        <v>0</v>
      </c>
      <c r="F230" s="192">
        <f ca="1">SUMIFS(Inventarisatie[Oppervlakte],Inventarisatie[Locatie],$BC230,Inventarisatie[Freq. Ma-Vr],$C230,Inventarisatie[Categorie],F$2)</f>
        <v>0</v>
      </c>
      <c r="G230" s="192">
        <f ca="1">SUMIFS(Inventarisatie[Oppervlakte],Inventarisatie[Locatie],$BC230,Inventarisatie[Freq. Ma-Vr],$C230,Inventarisatie[Categorie],G$2)</f>
        <v>0</v>
      </c>
      <c r="H230" s="192">
        <f ca="1">SUMIFS(Inventarisatie[Oppervlakte],Inventarisatie[Locatie],$BC230,Inventarisatie[Freq. Ma-Vr],$C230,Inventarisatie[Categorie],H$2)</f>
        <v>0</v>
      </c>
      <c r="I230" s="472">
        <f>SUMIFS(Inventarisatie[Oppervlakte],Inventarisatie[Locatie],$BC230,Inventarisatie[Freq. Ma-Vr],$C230,Inventarisatie[Categorie],I$2)</f>
        <v>0</v>
      </c>
      <c r="J230" s="472">
        <f>SUMIFS(Inventarisatie[Oppervlakte],Inventarisatie[Locatie],$BC230,Inventarisatie[Freq. Ma-Vr],$C230,Inventarisatie[Categorie],J$2)</f>
        <v>0</v>
      </c>
      <c r="K230" s="529"/>
      <c r="L230" s="316" t="b">
        <f>IF(_xlfn.XLOOKUP(BC230,Tabel2[Locatiecode],Tabel2[Type locatie],"",0)="vaccin",TRUE,FALSE)</f>
        <v>0</v>
      </c>
      <c r="BD230" s="9" t="str">
        <f t="shared" ca="1" si="3"/>
        <v/>
      </c>
    </row>
    <row r="231" spans="1:56" ht="0.2" customHeight="1" x14ac:dyDescent="0.2">
      <c r="A231" s="172" cm="1">
        <f t="array" aca="1" ref="A231" ca="1">_xlfn.IFS(SUM(D231:J231)&gt;0,1,OFFSET($K231,-MOD(BB231+4,5),0)=0,2,TRUE,0)</f>
        <v>2</v>
      </c>
      <c r="B231" s="527">
        <f>BC231</f>
        <v>0</v>
      </c>
      <c r="C231" s="208">
        <v>255</v>
      </c>
      <c r="D231" s="194">
        <f ca="1">SUMIFS(Inventarisatie[Oppervlakte],Inventarisatie[Locatie],$BC231,Inventarisatie[Freq. Ma-Vr],$C231,Inventarisatie[Categorie],D$2)</f>
        <v>0</v>
      </c>
      <c r="E231" s="192">
        <f ca="1">SUMIFS(Inventarisatie[Oppervlakte],Inventarisatie[Locatie],$BC231,Inventarisatie[Freq. Ma-Vr],$C231,Inventarisatie[Categorie],E$2)</f>
        <v>0</v>
      </c>
      <c r="F231" s="192">
        <f ca="1">SUMIFS(Inventarisatie[Oppervlakte],Inventarisatie[Locatie],$BC231,Inventarisatie[Freq. Ma-Vr],$C231,Inventarisatie[Categorie],F$2)</f>
        <v>0</v>
      </c>
      <c r="G231" s="192">
        <f ca="1">SUMIFS(Inventarisatie[Oppervlakte],Inventarisatie[Locatie],$BC231,Inventarisatie[Freq. Ma-Vr],$C231,Inventarisatie[Categorie],G$2)</f>
        <v>0</v>
      </c>
      <c r="H231" s="192">
        <f ca="1">SUMIFS(Inventarisatie[Oppervlakte],Inventarisatie[Locatie],$BC231,Inventarisatie[Freq. Ma-Vr],$C231,Inventarisatie[Categorie],H$2)</f>
        <v>0</v>
      </c>
      <c r="I231" s="472">
        <f ca="1">SUMIFS(Inventarisatie[Oppervlakte],Inventarisatie[Locatie],$BC231,Inventarisatie[Freq. Ma-Vr],$C231,Inventarisatie[Categorie],I$2)</f>
        <v>0</v>
      </c>
      <c r="J231" s="472">
        <f>SUMIFS(Inventarisatie[Oppervlakte],Inventarisatie[Locatie],$BC231,Inventarisatie[Freq. Ma-Vr],$C231,Inventarisatie[Categorie],J$2)</f>
        <v>0</v>
      </c>
      <c r="K231" s="528">
        <f ca="1">SUM(D231:J236)</f>
        <v>0</v>
      </c>
      <c r="L231" s="316" t="b">
        <f>IF(_xlfn.XLOOKUP(BC231,Tabel2[Locatiecode],Tabel2[Type locatie],"",0)="vaccin",TRUE,FALSE)</f>
        <v>0</v>
      </c>
      <c r="BD231" s="9" t="str">
        <f t="shared" ca="1" si="3"/>
        <v/>
      </c>
    </row>
    <row r="232" spans="1:56" ht="0.2" customHeight="1" x14ac:dyDescent="0.2">
      <c r="A232" s="172" cm="1">
        <f t="array" aca="1" ref="A232" ca="1">_xlfn.IFS(SUM(D232:J232)&gt;0,1,OFFSET($K232,-MOD(BB232+4,5),0)=0,2,TRUE,0)</f>
        <v>2</v>
      </c>
      <c r="B232" s="527"/>
      <c r="C232" s="208">
        <v>204</v>
      </c>
      <c r="D232" s="194">
        <f ca="1">SUMIFS(Inventarisatie[Oppervlakte],Inventarisatie[Locatie],$BC232,Inventarisatie[Freq. Ma-Vr],$C232,Inventarisatie[Categorie],D$2)</f>
        <v>0</v>
      </c>
      <c r="E232" s="192">
        <f ca="1">SUMIFS(Inventarisatie[Oppervlakte],Inventarisatie[Locatie],$BC232,Inventarisatie[Freq. Ma-Vr],$C232,Inventarisatie[Categorie],E$2)</f>
        <v>0</v>
      </c>
      <c r="F232" s="192">
        <f ca="1">SUMIFS(Inventarisatie[Oppervlakte],Inventarisatie[Locatie],$BC232,Inventarisatie[Freq. Ma-Vr],$C232,Inventarisatie[Categorie],F$2)</f>
        <v>0</v>
      </c>
      <c r="G232" s="192">
        <f ca="1">SUMIFS(Inventarisatie[Oppervlakte],Inventarisatie[Locatie],$BC232,Inventarisatie[Freq. Ma-Vr],$C232,Inventarisatie[Categorie],G$2)</f>
        <v>0</v>
      </c>
      <c r="H232" s="192">
        <f ca="1">SUMIFS(Inventarisatie[Oppervlakte],Inventarisatie[Locatie],$BC232,Inventarisatie[Freq. Ma-Vr],$C232,Inventarisatie[Categorie],H$2)</f>
        <v>0</v>
      </c>
      <c r="I232" s="472">
        <f ca="1">SUMIFS(Inventarisatie[Oppervlakte],Inventarisatie[Locatie],$BC232,Inventarisatie[Freq. Ma-Vr],$C232,Inventarisatie[Categorie],I$2)</f>
        <v>0</v>
      </c>
      <c r="J232" s="472">
        <f ca="1">SUMIFS(Inventarisatie[Oppervlakte],Inventarisatie[Locatie],$BC232,Inventarisatie[Freq. Ma-Vr],$C232,Inventarisatie[Categorie],J$2)</f>
        <v>0</v>
      </c>
      <c r="K232" s="528"/>
      <c r="L232" s="316" t="b">
        <f>IF(_xlfn.XLOOKUP(BC232,Tabel2[Locatiecode],Tabel2[Type locatie],"",0)="vaccin",TRUE,FALSE)</f>
        <v>0</v>
      </c>
      <c r="BD232" s="9" t="str">
        <f t="shared" ca="1" si="3"/>
        <v/>
      </c>
    </row>
    <row r="233" spans="1:56" ht="0.2" customHeight="1" x14ac:dyDescent="0.2">
      <c r="A233" s="172" cm="1">
        <f t="array" aca="1" ref="A233" ca="1">_xlfn.IFS(SUM(D233:J233)&gt;0,1,OFFSET($K233,-MOD(BB233+4,5),0)=0,2,TRUE,0)</f>
        <v>2</v>
      </c>
      <c r="B233" s="527"/>
      <c r="C233" s="208">
        <v>156</v>
      </c>
      <c r="D233" s="194">
        <f ca="1">SUMIFS(Inventarisatie[Oppervlakte],Inventarisatie[Locatie],$BC233,Inventarisatie[Freq. Ma-Vr],$C233,Inventarisatie[Categorie],D$2)</f>
        <v>0</v>
      </c>
      <c r="E233" s="192">
        <f>SUMIFS(Inventarisatie[Oppervlakte],Inventarisatie[Locatie],$BC233,Inventarisatie[Freq. Ma-Vr],$C233,Inventarisatie[Categorie],E$2)</f>
        <v>0</v>
      </c>
      <c r="F233" s="192">
        <f>SUMIFS(Inventarisatie[Oppervlakte],Inventarisatie[Locatie],$BC233,Inventarisatie[Freq. Ma-Vr],$C233,Inventarisatie[Categorie],F$2)</f>
        <v>0</v>
      </c>
      <c r="G233" s="192">
        <f ca="1">SUMIFS(Inventarisatie[Oppervlakte],Inventarisatie[Locatie],$BC233,Inventarisatie[Freq. Ma-Vr],$C233,Inventarisatie[Categorie],G$2)</f>
        <v>0</v>
      </c>
      <c r="H233" s="192">
        <f ca="1">SUMIFS(Inventarisatie[Oppervlakte],Inventarisatie[Locatie],$BC233,Inventarisatie[Freq. Ma-Vr],$C233,Inventarisatie[Categorie],H$2)</f>
        <v>0</v>
      </c>
      <c r="I233" s="472">
        <f ca="1">SUMIFS(Inventarisatie[Oppervlakte],Inventarisatie[Locatie],$BC233,Inventarisatie[Freq. Ma-Vr],$C233,Inventarisatie[Categorie],I$2)</f>
        <v>0</v>
      </c>
      <c r="J233" s="472">
        <f ca="1">SUMIFS(Inventarisatie[Oppervlakte],Inventarisatie[Locatie],$BC233,Inventarisatie[Freq. Ma-Vr],$C233,Inventarisatie[Categorie],J$2)</f>
        <v>0</v>
      </c>
      <c r="K233" s="529"/>
      <c r="L233" s="316" t="b">
        <f>IF(_xlfn.XLOOKUP(BC233,Tabel2[Locatiecode],Tabel2[Type locatie],"",0)="vaccin",TRUE,FALSE)</f>
        <v>0</v>
      </c>
      <c r="BD233" s="9" t="str">
        <f t="shared" ca="1" si="3"/>
        <v/>
      </c>
    </row>
    <row r="234" spans="1:56" ht="0.2" customHeight="1" x14ac:dyDescent="0.2">
      <c r="A234" s="172" cm="1">
        <f t="array" aca="1" ref="A234" ca="1">_xlfn.IFS(SUM(D234:J234)&gt;0,1,OFFSET($K234,-MOD(BB234+4,5),0)=0,2,TRUE,0)</f>
        <v>2</v>
      </c>
      <c r="B234" s="527"/>
      <c r="C234" s="208">
        <v>104</v>
      </c>
      <c r="D234" s="194">
        <f ca="1">SUMIFS(Inventarisatie[Oppervlakte],Inventarisatie[Locatie],$BC234,Inventarisatie[Freq. Ma-Vr],$C234,Inventarisatie[Categorie],D$2)</f>
        <v>0</v>
      </c>
      <c r="E234" s="192">
        <f>SUMIFS(Inventarisatie[Oppervlakte],Inventarisatie[Locatie],$BC234,Inventarisatie[Freq. Ma-Vr],$C234,Inventarisatie[Categorie],E$2)</f>
        <v>0</v>
      </c>
      <c r="F234" s="192">
        <f>SUMIFS(Inventarisatie[Oppervlakte],Inventarisatie[Locatie],$BC234,Inventarisatie[Freq. Ma-Vr],$C234,Inventarisatie[Categorie],F$2)</f>
        <v>0</v>
      </c>
      <c r="G234" s="192">
        <f ca="1">SUMIFS(Inventarisatie[Oppervlakte],Inventarisatie[Locatie],$BC234,Inventarisatie[Freq. Ma-Vr],$C234,Inventarisatie[Categorie],G$2)</f>
        <v>0</v>
      </c>
      <c r="H234" s="192">
        <f ca="1">SUMIFS(Inventarisatie[Oppervlakte],Inventarisatie[Locatie],$BC234,Inventarisatie[Freq. Ma-Vr],$C234,Inventarisatie[Categorie],H$2)</f>
        <v>0</v>
      </c>
      <c r="I234" s="472">
        <f ca="1">SUMIFS(Inventarisatie[Oppervlakte],Inventarisatie[Locatie],$BC234,Inventarisatie[Freq. Ma-Vr],$C234,Inventarisatie[Categorie],I$2)</f>
        <v>0</v>
      </c>
      <c r="J234" s="472">
        <f ca="1">SUMIFS(Inventarisatie[Oppervlakte],Inventarisatie[Locatie],$BC234,Inventarisatie[Freq. Ma-Vr],$C234,Inventarisatie[Categorie],J$2)</f>
        <v>0</v>
      </c>
      <c r="K234" s="529"/>
      <c r="L234" s="316" t="b">
        <f>IF(_xlfn.XLOOKUP(BC234,Tabel2[Locatiecode],Tabel2[Type locatie],"",0)="vaccin",TRUE,FALSE)</f>
        <v>0</v>
      </c>
      <c r="BD234" s="9" t="str">
        <f t="shared" ca="1" si="3"/>
        <v/>
      </c>
    </row>
    <row r="235" spans="1:56" ht="0.2" customHeight="1" x14ac:dyDescent="0.2">
      <c r="A235" s="172" cm="1">
        <f t="array" aca="1" ref="A235" ca="1">_xlfn.IFS(SUM(D235:J235)&gt;0,1,OFFSET($K235,-MOD(BB235+4,5),0)=0,2,TRUE,0)</f>
        <v>2</v>
      </c>
      <c r="B235" s="527"/>
      <c r="C235" s="208">
        <v>52</v>
      </c>
      <c r="D235" s="194">
        <f ca="1">SUMIFS(Inventarisatie[Oppervlakte],Inventarisatie[Locatie],$BC235,Inventarisatie[Freq. Ma-Vr],$C235,Inventarisatie[Categorie],D$2)</f>
        <v>0</v>
      </c>
      <c r="E235" s="192">
        <f ca="1">SUMIFS(Inventarisatie[Oppervlakte],Inventarisatie[Locatie],$BC235,Inventarisatie[Freq. Ma-Vr],$C235,Inventarisatie[Categorie],E$2)</f>
        <v>0</v>
      </c>
      <c r="F235" s="192">
        <f>SUMIFS(Inventarisatie[Oppervlakte],Inventarisatie[Locatie],$BC235,Inventarisatie[Freq. Ma-Vr],$C235,Inventarisatie[Categorie],F$2)</f>
        <v>0</v>
      </c>
      <c r="G235" s="192">
        <f>SUMIFS(Inventarisatie[Oppervlakte],Inventarisatie[Locatie],$BC235,Inventarisatie[Freq. Ma-Vr],$C235,Inventarisatie[Categorie],G$2)</f>
        <v>0</v>
      </c>
      <c r="H235" s="192">
        <f>SUMIFS(Inventarisatie[Oppervlakte],Inventarisatie[Locatie],$BC235,Inventarisatie[Freq. Ma-Vr],$C235,Inventarisatie[Categorie],H$2)</f>
        <v>0</v>
      </c>
      <c r="I235" s="472">
        <f ca="1">SUMIFS(Inventarisatie[Oppervlakte],Inventarisatie[Locatie],$BC235,Inventarisatie[Freq. Ma-Vr],$C235,Inventarisatie[Categorie],I$2)</f>
        <v>0</v>
      </c>
      <c r="J235" s="472">
        <f ca="1">SUMIFS(Inventarisatie[Oppervlakte],Inventarisatie[Locatie],$BC235,Inventarisatie[Freq. Ma-Vr],$C235,Inventarisatie[Categorie],J$2)</f>
        <v>0</v>
      </c>
      <c r="K235" s="529"/>
      <c r="L235" s="316" t="b">
        <f>IF(_xlfn.XLOOKUP(BC235,Tabel2[Locatiecode],Tabel2[Type locatie],"",0)="vaccin",TRUE,FALSE)</f>
        <v>0</v>
      </c>
      <c r="BD235" s="9" t="str">
        <f t="shared" ca="1" si="3"/>
        <v/>
      </c>
    </row>
    <row r="236" spans="1:56" ht="0.2" customHeight="1" x14ac:dyDescent="0.2">
      <c r="A236" s="172" cm="1">
        <f t="array" aca="1" ref="A236" ca="1">_xlfn.IFS(SUM(D236:J236)&gt;0,1,OFFSET($K236,-MOD(BB236+4,5),0)=0,2,TRUE,0)</f>
        <v>2</v>
      </c>
      <c r="B236" s="527"/>
      <c r="C236" s="208">
        <v>4</v>
      </c>
      <c r="D236" s="194">
        <f ca="1">SUMIFS(Inventarisatie[Oppervlakte],Inventarisatie[Locatie],$BC236,Inventarisatie[Freq. Ma-Vr],$C236,Inventarisatie[Categorie],D$2)</f>
        <v>0</v>
      </c>
      <c r="E236" s="192">
        <f ca="1">SUMIFS(Inventarisatie[Oppervlakte],Inventarisatie[Locatie],$BC236,Inventarisatie[Freq. Ma-Vr],$C236,Inventarisatie[Categorie],E$2)</f>
        <v>0</v>
      </c>
      <c r="F236" s="192">
        <f ca="1">SUMIFS(Inventarisatie[Oppervlakte],Inventarisatie[Locatie],$BC236,Inventarisatie[Freq. Ma-Vr],$C236,Inventarisatie[Categorie],F$2)</f>
        <v>0</v>
      </c>
      <c r="G236" s="192">
        <f>SUMIFS(Inventarisatie[Oppervlakte],Inventarisatie[Locatie],$BC236,Inventarisatie[Freq. Ma-Vr],$C236,Inventarisatie[Categorie],G$2)</f>
        <v>0</v>
      </c>
      <c r="H236" s="192">
        <f>SUMIFS(Inventarisatie[Oppervlakte],Inventarisatie[Locatie],$BC236,Inventarisatie[Freq. Ma-Vr],$C236,Inventarisatie[Categorie],H$2)</f>
        <v>0</v>
      </c>
      <c r="I236" s="472">
        <f ca="1">SUMIFS(Inventarisatie[Oppervlakte],Inventarisatie[Locatie],$BC236,Inventarisatie[Freq. Ma-Vr],$C236,Inventarisatie[Categorie],I$2)</f>
        <v>0</v>
      </c>
      <c r="J236" s="472">
        <f ca="1">SUMIFS(Inventarisatie[Oppervlakte],Inventarisatie[Locatie],$BC236,Inventarisatie[Freq. Ma-Vr],$C236,Inventarisatie[Categorie],J$2)</f>
        <v>0</v>
      </c>
      <c r="K236" s="529"/>
      <c r="L236" s="316" t="b">
        <f>IF(_xlfn.XLOOKUP(BC236,Tabel2[Locatiecode],Tabel2[Type locatie],"",0)="vaccin",TRUE,FALSE)</f>
        <v>0</v>
      </c>
      <c r="BD236" s="9" t="str">
        <f t="shared" ca="1" si="3"/>
        <v/>
      </c>
    </row>
    <row r="237" spans="1:56" ht="0.2" customHeight="1" x14ac:dyDescent="0.2">
      <c r="A237" s="172" cm="1">
        <f t="array" aca="1" ref="A237" ca="1">_xlfn.IFS(SUM(D237:J237)&gt;0,1,OFFSET($K237,-MOD(BB237+4,5),0)=0,2,TRUE,0)</f>
        <v>2</v>
      </c>
      <c r="B237" s="527">
        <f>BC237</f>
        <v>0</v>
      </c>
      <c r="C237" s="208">
        <v>255</v>
      </c>
      <c r="D237" s="194">
        <f ca="1">SUMIFS(Inventarisatie[Oppervlakte],Inventarisatie[Locatie],$BC237,Inventarisatie[Freq. Ma-Vr],$C237,Inventarisatie[Categorie],D$2)</f>
        <v>0</v>
      </c>
      <c r="E237" s="192">
        <f ca="1">SUMIFS(Inventarisatie[Oppervlakte],Inventarisatie[Locatie],$BC237,Inventarisatie[Freq. Ma-Vr],$C237,Inventarisatie[Categorie],E$2)</f>
        <v>0</v>
      </c>
      <c r="F237" s="192">
        <f ca="1">SUMIFS(Inventarisatie[Oppervlakte],Inventarisatie[Locatie],$BC237,Inventarisatie[Freq. Ma-Vr],$C237,Inventarisatie[Categorie],F$2)</f>
        <v>0</v>
      </c>
      <c r="G237" s="192">
        <f ca="1">SUMIFS(Inventarisatie[Oppervlakte],Inventarisatie[Locatie],$BC237,Inventarisatie[Freq. Ma-Vr],$C237,Inventarisatie[Categorie],G$2)</f>
        <v>0</v>
      </c>
      <c r="H237" s="192">
        <f ca="1">SUMIFS(Inventarisatie[Oppervlakte],Inventarisatie[Locatie],$BC237,Inventarisatie[Freq. Ma-Vr],$C237,Inventarisatie[Categorie],H$2)</f>
        <v>0</v>
      </c>
      <c r="I237" s="472">
        <f ca="1">SUMIFS(Inventarisatie[Oppervlakte],Inventarisatie[Locatie],$BC237,Inventarisatie[Freq. Ma-Vr],$C237,Inventarisatie[Categorie],I$2)</f>
        <v>0</v>
      </c>
      <c r="J237" s="472">
        <f ca="1">SUMIFS(Inventarisatie[Oppervlakte],Inventarisatie[Locatie],$BC237,Inventarisatie[Freq. Ma-Vr],$C237,Inventarisatie[Categorie],J$2)</f>
        <v>0</v>
      </c>
      <c r="K237" s="528">
        <f ca="1">SUM(D237:J242)</f>
        <v>0</v>
      </c>
      <c r="L237" s="316" t="b">
        <f>IF(_xlfn.XLOOKUP(BC237,Tabel2[Locatiecode],Tabel2[Type locatie],"",0)="vaccin",TRUE,FALSE)</f>
        <v>0</v>
      </c>
      <c r="BD237" s="9" t="str">
        <f t="shared" ca="1" si="3"/>
        <v/>
      </c>
    </row>
    <row r="238" spans="1:56" ht="0.2" customHeight="1" x14ac:dyDescent="0.2">
      <c r="A238" s="172" cm="1">
        <f t="array" aca="1" ref="A238" ca="1">_xlfn.IFS(SUM(D238:J238)&gt;0,1,OFFSET($K238,-MOD(BB238+4,5),0)=0,2,TRUE,0)</f>
        <v>2</v>
      </c>
      <c r="B238" s="527"/>
      <c r="C238" s="208">
        <v>204</v>
      </c>
      <c r="D238" s="194">
        <f ca="1">SUMIFS(Inventarisatie[Oppervlakte],Inventarisatie[Locatie],$BC238,Inventarisatie[Freq. Ma-Vr],$C238,Inventarisatie[Categorie],D$2)</f>
        <v>0</v>
      </c>
      <c r="E238" s="192">
        <f ca="1">SUMIFS(Inventarisatie[Oppervlakte],Inventarisatie[Locatie],$BC238,Inventarisatie[Freq. Ma-Vr],$C238,Inventarisatie[Categorie],E$2)</f>
        <v>0</v>
      </c>
      <c r="F238" s="192">
        <f ca="1">SUMIFS(Inventarisatie[Oppervlakte],Inventarisatie[Locatie],$BC238,Inventarisatie[Freq. Ma-Vr],$C238,Inventarisatie[Categorie],F$2)</f>
        <v>0</v>
      </c>
      <c r="G238" s="192">
        <f ca="1">SUMIFS(Inventarisatie[Oppervlakte],Inventarisatie[Locatie],$BC238,Inventarisatie[Freq. Ma-Vr],$C238,Inventarisatie[Categorie],G$2)</f>
        <v>0</v>
      </c>
      <c r="H238" s="192">
        <f ca="1">SUMIFS(Inventarisatie[Oppervlakte],Inventarisatie[Locatie],$BC238,Inventarisatie[Freq. Ma-Vr],$C238,Inventarisatie[Categorie],H$2)</f>
        <v>0</v>
      </c>
      <c r="I238" s="472">
        <f ca="1">SUMIFS(Inventarisatie[Oppervlakte],Inventarisatie[Locatie],$BC238,Inventarisatie[Freq. Ma-Vr],$C238,Inventarisatie[Categorie],I$2)</f>
        <v>0</v>
      </c>
      <c r="J238" s="472">
        <f ca="1">SUMIFS(Inventarisatie[Oppervlakte],Inventarisatie[Locatie],$BC238,Inventarisatie[Freq. Ma-Vr],$C238,Inventarisatie[Categorie],J$2)</f>
        <v>0</v>
      </c>
      <c r="K238" s="528"/>
      <c r="L238" s="316" t="b">
        <f>IF(_xlfn.XLOOKUP(BC238,Tabel2[Locatiecode],Tabel2[Type locatie],"",0)="vaccin",TRUE,FALSE)</f>
        <v>0</v>
      </c>
      <c r="BD238" s="9" t="str">
        <f t="shared" ca="1" si="3"/>
        <v/>
      </c>
    </row>
    <row r="239" spans="1:56" ht="0.2" customHeight="1" x14ac:dyDescent="0.2">
      <c r="A239" s="172" cm="1">
        <f t="array" aca="1" ref="A239" ca="1">_xlfn.IFS(SUM(D239:J239)&gt;0,1,OFFSET($K239,-MOD(BB239+4,5),0)=0,2,TRUE,0)</f>
        <v>2</v>
      </c>
      <c r="B239" s="527"/>
      <c r="C239" s="208">
        <v>156</v>
      </c>
      <c r="D239" s="194">
        <f ca="1">SUMIFS(Inventarisatie[Oppervlakte],Inventarisatie[Locatie],$BC239,Inventarisatie[Freq. Ma-Vr],$C239,Inventarisatie[Categorie],D$2)</f>
        <v>0</v>
      </c>
      <c r="E239" s="192">
        <f ca="1">SUMIFS(Inventarisatie[Oppervlakte],Inventarisatie[Locatie],$BC239,Inventarisatie[Freq. Ma-Vr],$C239,Inventarisatie[Categorie],E$2)</f>
        <v>0</v>
      </c>
      <c r="F239" s="192">
        <f ca="1">SUMIFS(Inventarisatie[Oppervlakte],Inventarisatie[Locatie],$BC239,Inventarisatie[Freq. Ma-Vr],$C239,Inventarisatie[Categorie],F$2)</f>
        <v>0</v>
      </c>
      <c r="G239" s="192">
        <f ca="1">SUMIFS(Inventarisatie[Oppervlakte],Inventarisatie[Locatie],$BC239,Inventarisatie[Freq. Ma-Vr],$C239,Inventarisatie[Categorie],G$2)</f>
        <v>0</v>
      </c>
      <c r="H239" s="192">
        <f ca="1">SUMIFS(Inventarisatie[Oppervlakte],Inventarisatie[Locatie],$BC239,Inventarisatie[Freq. Ma-Vr],$C239,Inventarisatie[Categorie],H$2)</f>
        <v>0</v>
      </c>
      <c r="I239" s="472">
        <f ca="1">SUMIFS(Inventarisatie[Oppervlakte],Inventarisatie[Locatie],$BC239,Inventarisatie[Freq. Ma-Vr],$C239,Inventarisatie[Categorie],I$2)</f>
        <v>0</v>
      </c>
      <c r="J239" s="472">
        <f ca="1">SUMIFS(Inventarisatie[Oppervlakte],Inventarisatie[Locatie],$BC239,Inventarisatie[Freq. Ma-Vr],$C239,Inventarisatie[Categorie],J$2)</f>
        <v>0</v>
      </c>
      <c r="K239" s="529"/>
      <c r="L239" s="316" t="b">
        <f>IF(_xlfn.XLOOKUP(BC239,Tabel2[Locatiecode],Tabel2[Type locatie],"",0)="vaccin",TRUE,FALSE)</f>
        <v>0</v>
      </c>
      <c r="BD239" s="9" t="str">
        <f t="shared" ca="1" si="3"/>
        <v/>
      </c>
    </row>
    <row r="240" spans="1:56" ht="0.2" customHeight="1" x14ac:dyDescent="0.2">
      <c r="A240" s="172" cm="1">
        <f t="array" aca="1" ref="A240" ca="1">_xlfn.IFS(SUM(D240:J240)&gt;0,1,OFFSET($K240,-MOD(BB240+4,5),0)=0,2,TRUE,0)</f>
        <v>2</v>
      </c>
      <c r="B240" s="527"/>
      <c r="C240" s="208">
        <v>104</v>
      </c>
      <c r="D240" s="194">
        <f ca="1">SUMIFS(Inventarisatie[Oppervlakte],Inventarisatie[Locatie],$BC240,Inventarisatie[Freq. Ma-Vr],$C240,Inventarisatie[Categorie],D$2)</f>
        <v>0</v>
      </c>
      <c r="E240" s="192">
        <f ca="1">SUMIFS(Inventarisatie[Oppervlakte],Inventarisatie[Locatie],$BC240,Inventarisatie[Freq. Ma-Vr],$C240,Inventarisatie[Categorie],E$2)</f>
        <v>0</v>
      </c>
      <c r="F240" s="192">
        <f ca="1">SUMIFS(Inventarisatie[Oppervlakte],Inventarisatie[Locatie],$BC240,Inventarisatie[Freq. Ma-Vr],$C240,Inventarisatie[Categorie],F$2)</f>
        <v>0</v>
      </c>
      <c r="G240" s="192">
        <f ca="1">SUMIFS(Inventarisatie[Oppervlakte],Inventarisatie[Locatie],$BC240,Inventarisatie[Freq. Ma-Vr],$C240,Inventarisatie[Categorie],G$2)</f>
        <v>0</v>
      </c>
      <c r="H240" s="192">
        <f ca="1">SUMIFS(Inventarisatie[Oppervlakte],Inventarisatie[Locatie],$BC240,Inventarisatie[Freq. Ma-Vr],$C240,Inventarisatie[Categorie],H$2)</f>
        <v>0</v>
      </c>
      <c r="I240" s="472">
        <f ca="1">SUMIFS(Inventarisatie[Oppervlakte],Inventarisatie[Locatie],$BC240,Inventarisatie[Freq. Ma-Vr],$C240,Inventarisatie[Categorie],I$2)</f>
        <v>0</v>
      </c>
      <c r="J240" s="472">
        <f ca="1">SUMIFS(Inventarisatie[Oppervlakte],Inventarisatie[Locatie],$BC240,Inventarisatie[Freq. Ma-Vr],$C240,Inventarisatie[Categorie],J$2)</f>
        <v>0</v>
      </c>
      <c r="K240" s="529"/>
      <c r="L240" s="316" t="b">
        <f>IF(_xlfn.XLOOKUP(BC240,Tabel2[Locatiecode],Tabel2[Type locatie],"",0)="vaccin",TRUE,FALSE)</f>
        <v>0</v>
      </c>
      <c r="BD240" s="9" t="str">
        <f t="shared" ca="1" si="3"/>
        <v/>
      </c>
    </row>
    <row r="241" spans="1:56" ht="0.2" customHeight="1" x14ac:dyDescent="0.2">
      <c r="A241" s="172" cm="1">
        <f t="array" aca="1" ref="A241" ca="1">_xlfn.IFS(SUM(D241:J241)&gt;0,1,OFFSET($K241,-MOD(BB241+4,5),0)=0,2,TRUE,0)</f>
        <v>2</v>
      </c>
      <c r="B241" s="527"/>
      <c r="C241" s="208">
        <v>52</v>
      </c>
      <c r="D241" s="194">
        <f ca="1">SUMIFS(Inventarisatie[Oppervlakte],Inventarisatie[Locatie],$BC241,Inventarisatie[Freq. Ma-Vr],$C241,Inventarisatie[Categorie],D$2)</f>
        <v>0</v>
      </c>
      <c r="E241" s="192">
        <f ca="1">SUMIFS(Inventarisatie[Oppervlakte],Inventarisatie[Locatie],$BC241,Inventarisatie[Freq. Ma-Vr],$C241,Inventarisatie[Categorie],E$2)</f>
        <v>0</v>
      </c>
      <c r="F241" s="192">
        <f ca="1">SUMIFS(Inventarisatie[Oppervlakte],Inventarisatie[Locatie],$BC241,Inventarisatie[Freq. Ma-Vr],$C241,Inventarisatie[Categorie],F$2)</f>
        <v>0</v>
      </c>
      <c r="G241" s="192">
        <f ca="1">SUMIFS(Inventarisatie[Oppervlakte],Inventarisatie[Locatie],$BC241,Inventarisatie[Freq. Ma-Vr],$C241,Inventarisatie[Categorie],G$2)</f>
        <v>0</v>
      </c>
      <c r="H241" s="192">
        <f ca="1">SUMIFS(Inventarisatie[Oppervlakte],Inventarisatie[Locatie],$BC241,Inventarisatie[Freq. Ma-Vr],$C241,Inventarisatie[Categorie],H$2)</f>
        <v>0</v>
      </c>
      <c r="I241" s="472">
        <f ca="1">SUMIFS(Inventarisatie[Oppervlakte],Inventarisatie[Locatie],$BC241,Inventarisatie[Freq. Ma-Vr],$C241,Inventarisatie[Categorie],I$2)</f>
        <v>0</v>
      </c>
      <c r="J241" s="472">
        <f ca="1">SUMIFS(Inventarisatie[Oppervlakte],Inventarisatie[Locatie],$BC241,Inventarisatie[Freq. Ma-Vr],$C241,Inventarisatie[Categorie],J$2)</f>
        <v>0</v>
      </c>
      <c r="K241" s="529"/>
      <c r="L241" s="316" t="b">
        <f>IF(_xlfn.XLOOKUP(BC241,Tabel2[Locatiecode],Tabel2[Type locatie],"",0)="vaccin",TRUE,FALSE)</f>
        <v>0</v>
      </c>
      <c r="BD241" s="9" t="str">
        <f t="shared" ca="1" si="3"/>
        <v/>
      </c>
    </row>
    <row r="242" spans="1:56" ht="0.2" customHeight="1" x14ac:dyDescent="0.2">
      <c r="A242" s="172" cm="1">
        <f t="array" aca="1" ref="A242" ca="1">_xlfn.IFS(SUM(D242:J242)&gt;0,1,OFFSET($K242,-MOD(BB242+4,5),0)=0,2,TRUE,0)</f>
        <v>2</v>
      </c>
      <c r="B242" s="527"/>
      <c r="C242" s="208">
        <v>4</v>
      </c>
      <c r="D242" s="194">
        <f ca="1">SUMIFS(Inventarisatie[Oppervlakte],Inventarisatie[Locatie],$BC242,Inventarisatie[Freq. Ma-Vr],$C242,Inventarisatie[Categorie],D$2)</f>
        <v>0</v>
      </c>
      <c r="E242" s="192">
        <f ca="1">SUMIFS(Inventarisatie[Oppervlakte],Inventarisatie[Locatie],$BC242,Inventarisatie[Freq. Ma-Vr],$C242,Inventarisatie[Categorie],E$2)</f>
        <v>0</v>
      </c>
      <c r="F242" s="192">
        <f ca="1">SUMIFS(Inventarisatie[Oppervlakte],Inventarisatie[Locatie],$BC242,Inventarisatie[Freq. Ma-Vr],$C242,Inventarisatie[Categorie],F$2)</f>
        <v>0</v>
      </c>
      <c r="G242" s="192">
        <f ca="1">SUMIFS(Inventarisatie[Oppervlakte],Inventarisatie[Locatie],$BC242,Inventarisatie[Freq. Ma-Vr],$C242,Inventarisatie[Categorie],G$2)</f>
        <v>0</v>
      </c>
      <c r="H242" s="192">
        <f ca="1">SUMIFS(Inventarisatie[Oppervlakte],Inventarisatie[Locatie],$BC242,Inventarisatie[Freq. Ma-Vr],$C242,Inventarisatie[Categorie],H$2)</f>
        <v>0</v>
      </c>
      <c r="I242" s="472">
        <f ca="1">SUMIFS(Inventarisatie[Oppervlakte],Inventarisatie[Locatie],$BC242,Inventarisatie[Freq. Ma-Vr],$C242,Inventarisatie[Categorie],I$2)</f>
        <v>0</v>
      </c>
      <c r="J242" s="472">
        <f ca="1">SUMIFS(Inventarisatie[Oppervlakte],Inventarisatie[Locatie],$BC242,Inventarisatie[Freq. Ma-Vr],$C242,Inventarisatie[Categorie],J$2)</f>
        <v>0</v>
      </c>
      <c r="K242" s="529"/>
      <c r="L242" s="316" t="b">
        <f>IF(_xlfn.XLOOKUP(BC242,Tabel2[Locatiecode],Tabel2[Type locatie],"",0)="vaccin",TRUE,FALSE)</f>
        <v>0</v>
      </c>
      <c r="BD242" s="9" t="str">
        <f t="shared" ca="1" si="3"/>
        <v/>
      </c>
    </row>
    <row r="243" spans="1:56" ht="0.2" customHeight="1" x14ac:dyDescent="0.2">
      <c r="A243" s="172" cm="1">
        <f t="array" aca="1" ref="A243" ca="1">_xlfn.IFS(SUM(D243:J243)&gt;0,1,OFFSET($K243,-MOD(BB243+4,5),0)=0,2,TRUE,0)</f>
        <v>2</v>
      </c>
      <c r="B243" s="527">
        <f>BC243</f>
        <v>0</v>
      </c>
      <c r="C243" s="208">
        <v>255</v>
      </c>
      <c r="D243" s="194">
        <f ca="1">SUMIFS(Inventarisatie[Oppervlakte],Inventarisatie[Locatie],$BC243,Inventarisatie[Freq. Ma-Vr],$C243,Inventarisatie[Categorie],D$2)</f>
        <v>0</v>
      </c>
      <c r="E243" s="192">
        <f ca="1">SUMIFS(Inventarisatie[Oppervlakte],Inventarisatie[Locatie],$BC243,Inventarisatie[Freq. Ma-Vr],$C243,Inventarisatie[Categorie],E$2)</f>
        <v>0</v>
      </c>
      <c r="F243" s="192">
        <f ca="1">SUMIFS(Inventarisatie[Oppervlakte],Inventarisatie[Locatie],$BC243,Inventarisatie[Freq. Ma-Vr],$C243,Inventarisatie[Categorie],F$2)</f>
        <v>0</v>
      </c>
      <c r="G243" s="192">
        <f ca="1">SUMIFS(Inventarisatie[Oppervlakte],Inventarisatie[Locatie],$BC243,Inventarisatie[Freq. Ma-Vr],$C243,Inventarisatie[Categorie],G$2)</f>
        <v>0</v>
      </c>
      <c r="H243" s="192">
        <f ca="1">SUMIFS(Inventarisatie[Oppervlakte],Inventarisatie[Locatie],$BC243,Inventarisatie[Freq. Ma-Vr],$C243,Inventarisatie[Categorie],H$2)</f>
        <v>0</v>
      </c>
      <c r="I243" s="472">
        <f ca="1">SUMIFS(Inventarisatie[Oppervlakte],Inventarisatie[Locatie],$BC243,Inventarisatie[Freq. Ma-Vr],$C243,Inventarisatie[Categorie],I$2)</f>
        <v>0</v>
      </c>
      <c r="J243" s="472">
        <f ca="1">SUMIFS(Inventarisatie[Oppervlakte],Inventarisatie[Locatie],$BC243,Inventarisatie[Freq. Ma-Vr],$C243,Inventarisatie[Categorie],J$2)</f>
        <v>0</v>
      </c>
      <c r="K243" s="528">
        <f ca="1">SUM(D243:J248)</f>
        <v>0</v>
      </c>
      <c r="L243" s="316" t="b">
        <f>IF(_xlfn.XLOOKUP(BC243,Tabel2[Locatiecode],Tabel2[Type locatie],"",0)="vaccin",TRUE,FALSE)</f>
        <v>0</v>
      </c>
      <c r="BD243" s="9" t="str">
        <f t="shared" ca="1" si="3"/>
        <v/>
      </c>
    </row>
    <row r="244" spans="1:56" ht="0.2" customHeight="1" x14ac:dyDescent="0.2">
      <c r="A244" s="172" cm="1">
        <f t="array" aca="1" ref="A244" ca="1">_xlfn.IFS(SUM(D244:J244)&gt;0,1,OFFSET($K244,-MOD(BB244+4,5),0)=0,2,TRUE,0)</f>
        <v>2</v>
      </c>
      <c r="B244" s="527"/>
      <c r="C244" s="208">
        <v>204</v>
      </c>
      <c r="D244" s="194">
        <f ca="1">SUMIFS(Inventarisatie[Oppervlakte],Inventarisatie[Locatie],$BC244,Inventarisatie[Freq. Ma-Vr],$C244,Inventarisatie[Categorie],D$2)</f>
        <v>0</v>
      </c>
      <c r="E244" s="192">
        <f ca="1">SUMIFS(Inventarisatie[Oppervlakte],Inventarisatie[Locatie],$BC244,Inventarisatie[Freq. Ma-Vr],$C244,Inventarisatie[Categorie],E$2)</f>
        <v>0</v>
      </c>
      <c r="F244" s="192">
        <f ca="1">SUMIFS(Inventarisatie[Oppervlakte],Inventarisatie[Locatie],$BC244,Inventarisatie[Freq. Ma-Vr],$C244,Inventarisatie[Categorie],F$2)</f>
        <v>0</v>
      </c>
      <c r="G244" s="192">
        <f ca="1">SUMIFS(Inventarisatie[Oppervlakte],Inventarisatie[Locatie],$BC244,Inventarisatie[Freq. Ma-Vr],$C244,Inventarisatie[Categorie],G$2)</f>
        <v>0</v>
      </c>
      <c r="H244" s="192">
        <f ca="1">SUMIFS(Inventarisatie[Oppervlakte],Inventarisatie[Locatie],$BC244,Inventarisatie[Freq. Ma-Vr],$C244,Inventarisatie[Categorie],H$2)</f>
        <v>0</v>
      </c>
      <c r="I244" s="472">
        <f ca="1">SUMIFS(Inventarisatie[Oppervlakte],Inventarisatie[Locatie],$BC244,Inventarisatie[Freq. Ma-Vr],$C244,Inventarisatie[Categorie],I$2)</f>
        <v>0</v>
      </c>
      <c r="J244" s="472">
        <f ca="1">SUMIFS(Inventarisatie[Oppervlakte],Inventarisatie[Locatie],$BC244,Inventarisatie[Freq. Ma-Vr],$C244,Inventarisatie[Categorie],J$2)</f>
        <v>0</v>
      </c>
      <c r="K244" s="528"/>
      <c r="L244" s="316" t="b">
        <f>IF(_xlfn.XLOOKUP(BC244,Tabel2[Locatiecode],Tabel2[Type locatie],"",0)="vaccin",TRUE,FALSE)</f>
        <v>0</v>
      </c>
      <c r="BD244" s="9" t="str">
        <f t="shared" ca="1" si="3"/>
        <v/>
      </c>
    </row>
    <row r="245" spans="1:56" ht="0.2" customHeight="1" x14ac:dyDescent="0.2">
      <c r="A245" s="172" cm="1">
        <f t="array" aca="1" ref="A245" ca="1">_xlfn.IFS(SUM(D245:J245)&gt;0,1,OFFSET($K245,-MOD(BB245+4,5),0)=0,2,TRUE,0)</f>
        <v>2</v>
      </c>
      <c r="B245" s="527"/>
      <c r="C245" s="208">
        <v>156</v>
      </c>
      <c r="D245" s="194">
        <f ca="1">SUMIFS(Inventarisatie[Oppervlakte],Inventarisatie[Locatie],$BC245,Inventarisatie[Freq. Ma-Vr],$C245,Inventarisatie[Categorie],D$2)</f>
        <v>0</v>
      </c>
      <c r="E245" s="192">
        <f ca="1">SUMIFS(Inventarisatie[Oppervlakte],Inventarisatie[Locatie],$BC245,Inventarisatie[Freq. Ma-Vr],$C245,Inventarisatie[Categorie],E$2)</f>
        <v>0</v>
      </c>
      <c r="F245" s="192">
        <f ca="1">SUMIFS(Inventarisatie[Oppervlakte],Inventarisatie[Locatie],$BC245,Inventarisatie[Freq. Ma-Vr],$C245,Inventarisatie[Categorie],F$2)</f>
        <v>0</v>
      </c>
      <c r="G245" s="192">
        <f ca="1">SUMIFS(Inventarisatie[Oppervlakte],Inventarisatie[Locatie],$BC245,Inventarisatie[Freq. Ma-Vr],$C245,Inventarisatie[Categorie],G$2)</f>
        <v>0</v>
      </c>
      <c r="H245" s="192">
        <f ca="1">SUMIFS(Inventarisatie[Oppervlakte],Inventarisatie[Locatie],$BC245,Inventarisatie[Freq. Ma-Vr],$C245,Inventarisatie[Categorie],H$2)</f>
        <v>0</v>
      </c>
      <c r="I245" s="472">
        <f ca="1">SUMIFS(Inventarisatie[Oppervlakte],Inventarisatie[Locatie],$BC245,Inventarisatie[Freq. Ma-Vr],$C245,Inventarisatie[Categorie],I$2)</f>
        <v>0</v>
      </c>
      <c r="J245" s="472">
        <f ca="1">SUMIFS(Inventarisatie[Oppervlakte],Inventarisatie[Locatie],$BC245,Inventarisatie[Freq. Ma-Vr],$C245,Inventarisatie[Categorie],J$2)</f>
        <v>0</v>
      </c>
      <c r="K245" s="529"/>
      <c r="L245" s="316" t="b">
        <f>IF(_xlfn.XLOOKUP(BC245,Tabel2[Locatiecode],Tabel2[Type locatie],"",0)="vaccin",TRUE,FALSE)</f>
        <v>0</v>
      </c>
      <c r="BD245" s="9" t="str">
        <f t="shared" ca="1" si="3"/>
        <v/>
      </c>
    </row>
    <row r="246" spans="1:56" ht="0.2" customHeight="1" x14ac:dyDescent="0.2">
      <c r="A246" s="172" cm="1">
        <f t="array" aca="1" ref="A246" ca="1">_xlfn.IFS(SUM(D246:J246)&gt;0,1,OFFSET($K246,-MOD(BB246+4,5),0)=0,2,TRUE,0)</f>
        <v>2</v>
      </c>
      <c r="B246" s="527"/>
      <c r="C246" s="208">
        <v>104</v>
      </c>
      <c r="D246" s="194">
        <f ca="1">SUMIFS(Inventarisatie[Oppervlakte],Inventarisatie[Locatie],$BC246,Inventarisatie[Freq. Ma-Vr],$C246,Inventarisatie[Categorie],D$2)</f>
        <v>0</v>
      </c>
      <c r="E246" s="192">
        <f ca="1">SUMIFS(Inventarisatie[Oppervlakte],Inventarisatie[Locatie],$BC246,Inventarisatie[Freq. Ma-Vr],$C246,Inventarisatie[Categorie],E$2)</f>
        <v>0</v>
      </c>
      <c r="F246" s="192">
        <f ca="1">SUMIFS(Inventarisatie[Oppervlakte],Inventarisatie[Locatie],$BC246,Inventarisatie[Freq. Ma-Vr],$C246,Inventarisatie[Categorie],F$2)</f>
        <v>0</v>
      </c>
      <c r="G246" s="192">
        <f ca="1">SUMIFS(Inventarisatie[Oppervlakte],Inventarisatie[Locatie],$BC246,Inventarisatie[Freq. Ma-Vr],$C246,Inventarisatie[Categorie],G$2)</f>
        <v>0</v>
      </c>
      <c r="H246" s="192">
        <f ca="1">SUMIFS(Inventarisatie[Oppervlakte],Inventarisatie[Locatie],$BC246,Inventarisatie[Freq. Ma-Vr],$C246,Inventarisatie[Categorie],H$2)</f>
        <v>0</v>
      </c>
      <c r="I246" s="472">
        <f ca="1">SUMIFS(Inventarisatie[Oppervlakte],Inventarisatie[Locatie],$BC246,Inventarisatie[Freq. Ma-Vr],$C246,Inventarisatie[Categorie],I$2)</f>
        <v>0</v>
      </c>
      <c r="J246" s="472">
        <f ca="1">SUMIFS(Inventarisatie[Oppervlakte],Inventarisatie[Locatie],$BC246,Inventarisatie[Freq. Ma-Vr],$C246,Inventarisatie[Categorie],J$2)</f>
        <v>0</v>
      </c>
      <c r="K246" s="529"/>
      <c r="L246" s="316" t="b">
        <f>IF(_xlfn.XLOOKUP(BC246,Tabel2[Locatiecode],Tabel2[Type locatie],"",0)="vaccin",TRUE,FALSE)</f>
        <v>0</v>
      </c>
      <c r="BD246" s="9" t="str">
        <f t="shared" ca="1" si="3"/>
        <v/>
      </c>
    </row>
    <row r="247" spans="1:56" ht="0.2" customHeight="1" x14ac:dyDescent="0.2">
      <c r="A247" s="172" cm="1">
        <f t="array" aca="1" ref="A247" ca="1">_xlfn.IFS(SUM(D247:J247)&gt;0,1,OFFSET($K247,-MOD(BB247+4,5),0)=0,2,TRUE,0)</f>
        <v>2</v>
      </c>
      <c r="B247" s="527"/>
      <c r="C247" s="208">
        <v>52</v>
      </c>
      <c r="D247" s="194">
        <f ca="1">SUMIFS(Inventarisatie[Oppervlakte],Inventarisatie[Locatie],$BC247,Inventarisatie[Freq. Ma-Vr],$C247,Inventarisatie[Categorie],D$2)</f>
        <v>0</v>
      </c>
      <c r="E247" s="192">
        <f ca="1">SUMIFS(Inventarisatie[Oppervlakte],Inventarisatie[Locatie],$BC247,Inventarisatie[Freq. Ma-Vr],$C247,Inventarisatie[Categorie],E$2)</f>
        <v>0</v>
      </c>
      <c r="F247" s="192">
        <f ca="1">SUMIFS(Inventarisatie[Oppervlakte],Inventarisatie[Locatie],$BC247,Inventarisatie[Freq. Ma-Vr],$C247,Inventarisatie[Categorie],F$2)</f>
        <v>0</v>
      </c>
      <c r="G247" s="192">
        <f ca="1">SUMIFS(Inventarisatie[Oppervlakte],Inventarisatie[Locatie],$BC247,Inventarisatie[Freq. Ma-Vr],$C247,Inventarisatie[Categorie],G$2)</f>
        <v>0</v>
      </c>
      <c r="H247" s="192">
        <f ca="1">SUMIFS(Inventarisatie[Oppervlakte],Inventarisatie[Locatie],$BC247,Inventarisatie[Freq. Ma-Vr],$C247,Inventarisatie[Categorie],H$2)</f>
        <v>0</v>
      </c>
      <c r="I247" s="472">
        <f ca="1">SUMIFS(Inventarisatie[Oppervlakte],Inventarisatie[Locatie],$BC247,Inventarisatie[Freq. Ma-Vr],$C247,Inventarisatie[Categorie],I$2)</f>
        <v>0</v>
      </c>
      <c r="J247" s="472">
        <f ca="1">SUMIFS(Inventarisatie[Oppervlakte],Inventarisatie[Locatie],$BC247,Inventarisatie[Freq. Ma-Vr],$C247,Inventarisatie[Categorie],J$2)</f>
        <v>0</v>
      </c>
      <c r="K247" s="529"/>
      <c r="L247" s="316" t="b">
        <f>IF(_xlfn.XLOOKUP(BC247,Tabel2[Locatiecode],Tabel2[Type locatie],"",0)="vaccin",TRUE,FALSE)</f>
        <v>0</v>
      </c>
      <c r="BD247" s="9" t="str">
        <f t="shared" ca="1" si="3"/>
        <v/>
      </c>
    </row>
    <row r="248" spans="1:56" ht="0.2" customHeight="1" x14ac:dyDescent="0.2">
      <c r="A248" s="172" cm="1">
        <f t="array" aca="1" ref="A248" ca="1">_xlfn.IFS(SUM(D248:J248)&gt;0,1,OFFSET($K248,-MOD(BB248+4,5),0)=0,2,TRUE,0)</f>
        <v>2</v>
      </c>
      <c r="B248" s="527"/>
      <c r="C248" s="208">
        <v>4</v>
      </c>
      <c r="D248" s="194">
        <f ca="1">SUMIFS(Inventarisatie[Oppervlakte],Inventarisatie[Locatie],$BC248,Inventarisatie[Freq. Ma-Vr],$C248,Inventarisatie[Categorie],D$2)</f>
        <v>0</v>
      </c>
      <c r="E248" s="192">
        <f ca="1">SUMIFS(Inventarisatie[Oppervlakte],Inventarisatie[Locatie],$BC248,Inventarisatie[Freq. Ma-Vr],$C248,Inventarisatie[Categorie],E$2)</f>
        <v>0</v>
      </c>
      <c r="F248" s="192">
        <f ca="1">SUMIFS(Inventarisatie[Oppervlakte],Inventarisatie[Locatie],$BC248,Inventarisatie[Freq. Ma-Vr],$C248,Inventarisatie[Categorie],F$2)</f>
        <v>0</v>
      </c>
      <c r="G248" s="192">
        <f ca="1">SUMIFS(Inventarisatie[Oppervlakte],Inventarisatie[Locatie],$BC248,Inventarisatie[Freq. Ma-Vr],$C248,Inventarisatie[Categorie],G$2)</f>
        <v>0</v>
      </c>
      <c r="H248" s="192">
        <f ca="1">SUMIFS(Inventarisatie[Oppervlakte],Inventarisatie[Locatie],$BC248,Inventarisatie[Freq. Ma-Vr],$C248,Inventarisatie[Categorie],H$2)</f>
        <v>0</v>
      </c>
      <c r="I248" s="472">
        <f ca="1">SUMIFS(Inventarisatie[Oppervlakte],Inventarisatie[Locatie],$BC248,Inventarisatie[Freq. Ma-Vr],$C248,Inventarisatie[Categorie],I$2)</f>
        <v>0</v>
      </c>
      <c r="J248" s="472">
        <f ca="1">SUMIFS(Inventarisatie[Oppervlakte],Inventarisatie[Locatie],$BC248,Inventarisatie[Freq. Ma-Vr],$C248,Inventarisatie[Categorie],J$2)</f>
        <v>0</v>
      </c>
      <c r="K248" s="529"/>
      <c r="L248" s="316" t="b">
        <f>IF(_xlfn.XLOOKUP(BC248,Tabel2[Locatiecode],Tabel2[Type locatie],"",0)="vaccin",TRUE,FALSE)</f>
        <v>0</v>
      </c>
      <c r="BD248" s="9" t="str">
        <f t="shared" ca="1" si="3"/>
        <v/>
      </c>
    </row>
    <row r="249" spans="1:56" ht="0.2" customHeight="1" x14ac:dyDescent="0.2">
      <c r="A249" s="172" cm="1">
        <f t="array" aca="1" ref="A249" ca="1">_xlfn.IFS(SUM(D249:J249)&gt;0,1,OFFSET($K249,-MOD(BB249+4,5),0)=0,2,TRUE,0)</f>
        <v>2</v>
      </c>
      <c r="B249" s="527">
        <f>BC249</f>
        <v>0</v>
      </c>
      <c r="C249" s="208">
        <v>255</v>
      </c>
      <c r="D249" s="194">
        <f ca="1">SUMIFS(Inventarisatie[Oppervlakte],Inventarisatie[Locatie],$BC249,Inventarisatie[Freq. Ma-Vr],$C249,Inventarisatie[Categorie],D$2)</f>
        <v>0</v>
      </c>
      <c r="E249" s="192">
        <f ca="1">SUMIFS(Inventarisatie[Oppervlakte],Inventarisatie[Locatie],$BC249,Inventarisatie[Freq. Ma-Vr],$C249,Inventarisatie[Categorie],E$2)</f>
        <v>0</v>
      </c>
      <c r="F249" s="192">
        <f ca="1">SUMIFS(Inventarisatie[Oppervlakte],Inventarisatie[Locatie],$BC249,Inventarisatie[Freq. Ma-Vr],$C249,Inventarisatie[Categorie],F$2)</f>
        <v>0</v>
      </c>
      <c r="G249" s="192">
        <f ca="1">SUMIFS(Inventarisatie[Oppervlakte],Inventarisatie[Locatie],$BC249,Inventarisatie[Freq. Ma-Vr],$C249,Inventarisatie[Categorie],G$2)</f>
        <v>0</v>
      </c>
      <c r="H249" s="192">
        <f ca="1">SUMIFS(Inventarisatie[Oppervlakte],Inventarisatie[Locatie],$BC249,Inventarisatie[Freq. Ma-Vr],$C249,Inventarisatie[Categorie],H$2)</f>
        <v>0</v>
      </c>
      <c r="I249" s="472">
        <f ca="1">SUMIFS(Inventarisatie[Oppervlakte],Inventarisatie[Locatie],$BC249,Inventarisatie[Freq. Ma-Vr],$C249,Inventarisatie[Categorie],I$2)</f>
        <v>0</v>
      </c>
      <c r="J249" s="472">
        <f ca="1">SUMIFS(Inventarisatie[Oppervlakte],Inventarisatie[Locatie],$BC249,Inventarisatie[Freq. Ma-Vr],$C249,Inventarisatie[Categorie],J$2)</f>
        <v>0</v>
      </c>
      <c r="K249" s="528">
        <f ca="1">SUM(D249:J254)</f>
        <v>0</v>
      </c>
      <c r="L249" s="316" t="b">
        <f>IF(_xlfn.XLOOKUP(BC249,Tabel2[Locatiecode],Tabel2[Type locatie],"",0)="vaccin",TRUE,FALSE)</f>
        <v>0</v>
      </c>
      <c r="BD249" s="9" t="str">
        <f t="shared" ca="1" si="3"/>
        <v/>
      </c>
    </row>
    <row r="250" spans="1:56" ht="0.2" customHeight="1" x14ac:dyDescent="0.2">
      <c r="A250" s="172" cm="1">
        <f t="array" aca="1" ref="A250" ca="1">_xlfn.IFS(SUM(D250:J250)&gt;0,1,OFFSET($K250,-MOD(BB250+4,5),0)=0,2,TRUE,0)</f>
        <v>2</v>
      </c>
      <c r="B250" s="527"/>
      <c r="C250" s="208">
        <v>204</v>
      </c>
      <c r="D250" s="194">
        <f ca="1">SUMIFS(Inventarisatie[Oppervlakte],Inventarisatie[Locatie],$BC250,Inventarisatie[Freq. Ma-Vr],$C250,Inventarisatie[Categorie],D$2)</f>
        <v>0</v>
      </c>
      <c r="E250" s="192">
        <f ca="1">SUMIFS(Inventarisatie[Oppervlakte],Inventarisatie[Locatie],$BC250,Inventarisatie[Freq. Ma-Vr],$C250,Inventarisatie[Categorie],E$2)</f>
        <v>0</v>
      </c>
      <c r="F250" s="192">
        <f ca="1">SUMIFS(Inventarisatie[Oppervlakte],Inventarisatie[Locatie],$BC250,Inventarisatie[Freq. Ma-Vr],$C250,Inventarisatie[Categorie],F$2)</f>
        <v>0</v>
      </c>
      <c r="G250" s="192">
        <f ca="1">SUMIFS(Inventarisatie[Oppervlakte],Inventarisatie[Locatie],$BC250,Inventarisatie[Freq. Ma-Vr],$C250,Inventarisatie[Categorie],G$2)</f>
        <v>0</v>
      </c>
      <c r="H250" s="192">
        <f ca="1">SUMIFS(Inventarisatie[Oppervlakte],Inventarisatie[Locatie],$BC250,Inventarisatie[Freq. Ma-Vr],$C250,Inventarisatie[Categorie],H$2)</f>
        <v>0</v>
      </c>
      <c r="I250" s="472">
        <f ca="1">SUMIFS(Inventarisatie[Oppervlakte],Inventarisatie[Locatie],$BC250,Inventarisatie[Freq. Ma-Vr],$C250,Inventarisatie[Categorie],I$2)</f>
        <v>0</v>
      </c>
      <c r="J250" s="472">
        <f ca="1">SUMIFS(Inventarisatie[Oppervlakte],Inventarisatie[Locatie],$BC250,Inventarisatie[Freq. Ma-Vr],$C250,Inventarisatie[Categorie],J$2)</f>
        <v>0</v>
      </c>
      <c r="K250" s="528"/>
      <c r="L250" s="316" t="b">
        <f>IF(_xlfn.XLOOKUP(BC250,Tabel2[Locatiecode],Tabel2[Type locatie],"",0)="vaccin",TRUE,FALSE)</f>
        <v>0</v>
      </c>
      <c r="BD250" s="9" t="str">
        <f t="shared" ca="1" si="3"/>
        <v/>
      </c>
    </row>
    <row r="251" spans="1:56" ht="0.2" customHeight="1" x14ac:dyDescent="0.2">
      <c r="A251" s="172" cm="1">
        <f t="array" aca="1" ref="A251" ca="1">_xlfn.IFS(SUM(D251:J251)&gt;0,1,OFFSET($K251,-MOD(BB251+4,5),0)=0,2,TRUE,0)</f>
        <v>2</v>
      </c>
      <c r="B251" s="527"/>
      <c r="C251" s="208">
        <v>156</v>
      </c>
      <c r="D251" s="194">
        <f ca="1">SUMIFS(Inventarisatie[Oppervlakte],Inventarisatie[Locatie],$BC251,Inventarisatie[Freq. Ma-Vr],$C251,Inventarisatie[Categorie],D$2)</f>
        <v>0</v>
      </c>
      <c r="E251" s="192">
        <f ca="1">SUMIFS(Inventarisatie[Oppervlakte],Inventarisatie[Locatie],$BC251,Inventarisatie[Freq. Ma-Vr],$C251,Inventarisatie[Categorie],E$2)</f>
        <v>0</v>
      </c>
      <c r="F251" s="192">
        <f ca="1">SUMIFS(Inventarisatie[Oppervlakte],Inventarisatie[Locatie],$BC251,Inventarisatie[Freq. Ma-Vr],$C251,Inventarisatie[Categorie],F$2)</f>
        <v>0</v>
      </c>
      <c r="G251" s="192">
        <f ca="1">SUMIFS(Inventarisatie[Oppervlakte],Inventarisatie[Locatie],$BC251,Inventarisatie[Freq. Ma-Vr],$C251,Inventarisatie[Categorie],G$2)</f>
        <v>0</v>
      </c>
      <c r="H251" s="192">
        <f ca="1">SUMIFS(Inventarisatie[Oppervlakte],Inventarisatie[Locatie],$BC251,Inventarisatie[Freq. Ma-Vr],$C251,Inventarisatie[Categorie],H$2)</f>
        <v>0</v>
      </c>
      <c r="I251" s="472">
        <f ca="1">SUMIFS(Inventarisatie[Oppervlakte],Inventarisatie[Locatie],$BC251,Inventarisatie[Freq. Ma-Vr],$C251,Inventarisatie[Categorie],I$2)</f>
        <v>0</v>
      </c>
      <c r="J251" s="472">
        <f ca="1">SUMIFS(Inventarisatie[Oppervlakte],Inventarisatie[Locatie],$BC251,Inventarisatie[Freq. Ma-Vr],$C251,Inventarisatie[Categorie],J$2)</f>
        <v>0</v>
      </c>
      <c r="K251" s="529"/>
      <c r="L251" s="316" t="b">
        <f>IF(_xlfn.XLOOKUP(BC251,Tabel2[Locatiecode],Tabel2[Type locatie],"",0)="vaccin",TRUE,FALSE)</f>
        <v>0</v>
      </c>
      <c r="BD251" s="9" t="str">
        <f t="shared" ca="1" si="3"/>
        <v/>
      </c>
    </row>
    <row r="252" spans="1:56" ht="0.2" customHeight="1" x14ac:dyDescent="0.2">
      <c r="A252" s="172" cm="1">
        <f t="array" aca="1" ref="A252" ca="1">_xlfn.IFS(SUM(D252:J252)&gt;0,1,OFFSET($K252,-MOD(BB252+4,5),0)=0,2,TRUE,0)</f>
        <v>2</v>
      </c>
      <c r="B252" s="527"/>
      <c r="C252" s="208">
        <v>104</v>
      </c>
      <c r="D252" s="194">
        <f ca="1">SUMIFS(Inventarisatie[Oppervlakte],Inventarisatie[Locatie],$BC252,Inventarisatie[Freq. Ma-Vr],$C252,Inventarisatie[Categorie],D$2)</f>
        <v>0</v>
      </c>
      <c r="E252" s="192">
        <f ca="1">SUMIFS(Inventarisatie[Oppervlakte],Inventarisatie[Locatie],$BC252,Inventarisatie[Freq. Ma-Vr],$C252,Inventarisatie[Categorie],E$2)</f>
        <v>0</v>
      </c>
      <c r="F252" s="192">
        <f ca="1">SUMIFS(Inventarisatie[Oppervlakte],Inventarisatie[Locatie],$BC252,Inventarisatie[Freq. Ma-Vr],$C252,Inventarisatie[Categorie],F$2)</f>
        <v>0</v>
      </c>
      <c r="G252" s="192">
        <f ca="1">SUMIFS(Inventarisatie[Oppervlakte],Inventarisatie[Locatie],$BC252,Inventarisatie[Freq. Ma-Vr],$C252,Inventarisatie[Categorie],G$2)</f>
        <v>0</v>
      </c>
      <c r="H252" s="192">
        <f ca="1">SUMIFS(Inventarisatie[Oppervlakte],Inventarisatie[Locatie],$BC252,Inventarisatie[Freq. Ma-Vr],$C252,Inventarisatie[Categorie],H$2)</f>
        <v>0</v>
      </c>
      <c r="I252" s="472">
        <f ca="1">SUMIFS(Inventarisatie[Oppervlakte],Inventarisatie[Locatie],$BC252,Inventarisatie[Freq. Ma-Vr],$C252,Inventarisatie[Categorie],I$2)</f>
        <v>0</v>
      </c>
      <c r="J252" s="472">
        <f ca="1">SUMIFS(Inventarisatie[Oppervlakte],Inventarisatie[Locatie],$BC252,Inventarisatie[Freq. Ma-Vr],$C252,Inventarisatie[Categorie],J$2)</f>
        <v>0</v>
      </c>
      <c r="K252" s="529"/>
      <c r="L252" s="316" t="b">
        <f>IF(_xlfn.XLOOKUP(BC252,Tabel2[Locatiecode],Tabel2[Type locatie],"",0)="vaccin",TRUE,FALSE)</f>
        <v>0</v>
      </c>
      <c r="BD252" s="9" t="str">
        <f t="shared" ca="1" si="3"/>
        <v/>
      </c>
    </row>
    <row r="253" spans="1:56" ht="0.2" customHeight="1" x14ac:dyDescent="0.2">
      <c r="A253" s="172" cm="1">
        <f t="array" aca="1" ref="A253" ca="1">_xlfn.IFS(SUM(D253:J253)&gt;0,1,OFFSET($K253,-MOD(BB253+4,5),0)=0,2,TRUE,0)</f>
        <v>2</v>
      </c>
      <c r="B253" s="527"/>
      <c r="C253" s="208">
        <v>52</v>
      </c>
      <c r="D253" s="194">
        <f ca="1">SUMIFS(Inventarisatie[Oppervlakte],Inventarisatie[Locatie],$BC253,Inventarisatie[Freq. Ma-Vr],$C253,Inventarisatie[Categorie],D$2)</f>
        <v>0</v>
      </c>
      <c r="E253" s="192">
        <f ca="1">SUMIFS(Inventarisatie[Oppervlakte],Inventarisatie[Locatie],$BC253,Inventarisatie[Freq. Ma-Vr],$C253,Inventarisatie[Categorie],E$2)</f>
        <v>0</v>
      </c>
      <c r="F253" s="192">
        <f ca="1">SUMIFS(Inventarisatie[Oppervlakte],Inventarisatie[Locatie],$BC253,Inventarisatie[Freq. Ma-Vr],$C253,Inventarisatie[Categorie],F$2)</f>
        <v>0</v>
      </c>
      <c r="G253" s="192">
        <f ca="1">SUMIFS(Inventarisatie[Oppervlakte],Inventarisatie[Locatie],$BC253,Inventarisatie[Freq. Ma-Vr],$C253,Inventarisatie[Categorie],G$2)</f>
        <v>0</v>
      </c>
      <c r="H253" s="192">
        <f ca="1">SUMIFS(Inventarisatie[Oppervlakte],Inventarisatie[Locatie],$BC253,Inventarisatie[Freq. Ma-Vr],$C253,Inventarisatie[Categorie],H$2)</f>
        <v>0</v>
      </c>
      <c r="I253" s="472">
        <f ca="1">SUMIFS(Inventarisatie[Oppervlakte],Inventarisatie[Locatie],$BC253,Inventarisatie[Freq. Ma-Vr],$C253,Inventarisatie[Categorie],I$2)</f>
        <v>0</v>
      </c>
      <c r="J253" s="472">
        <f ca="1">SUMIFS(Inventarisatie[Oppervlakte],Inventarisatie[Locatie],$BC253,Inventarisatie[Freq. Ma-Vr],$C253,Inventarisatie[Categorie],J$2)</f>
        <v>0</v>
      </c>
      <c r="K253" s="529"/>
      <c r="L253" s="316" t="b">
        <f>IF(_xlfn.XLOOKUP(BC253,Tabel2[Locatiecode],Tabel2[Type locatie],"",0)="vaccin",TRUE,FALSE)</f>
        <v>0</v>
      </c>
      <c r="BD253" s="9" t="str">
        <f t="shared" ca="1" si="3"/>
        <v/>
      </c>
    </row>
    <row r="254" spans="1:56" ht="0.2" customHeight="1" x14ac:dyDescent="0.2">
      <c r="A254" s="172" cm="1">
        <f t="array" aca="1" ref="A254" ca="1">_xlfn.IFS(SUM(D254:J254)&gt;0,1,OFFSET($K254,-MOD(BB254+4,5),0)=0,2,TRUE,0)</f>
        <v>2</v>
      </c>
      <c r="B254" s="527"/>
      <c r="C254" s="208">
        <v>4</v>
      </c>
      <c r="D254" s="194">
        <f ca="1">SUMIFS(Inventarisatie[Oppervlakte],Inventarisatie[Locatie],$BC254,Inventarisatie[Freq. Ma-Vr],$C254,Inventarisatie[Categorie],D$2)</f>
        <v>0</v>
      </c>
      <c r="E254" s="192">
        <f ca="1">SUMIFS(Inventarisatie[Oppervlakte],Inventarisatie[Locatie],$BC254,Inventarisatie[Freq. Ma-Vr],$C254,Inventarisatie[Categorie],E$2)</f>
        <v>0</v>
      </c>
      <c r="F254" s="192">
        <f ca="1">SUMIFS(Inventarisatie[Oppervlakte],Inventarisatie[Locatie],$BC254,Inventarisatie[Freq. Ma-Vr],$C254,Inventarisatie[Categorie],F$2)</f>
        <v>0</v>
      </c>
      <c r="G254" s="192">
        <f ca="1">SUMIFS(Inventarisatie[Oppervlakte],Inventarisatie[Locatie],$BC254,Inventarisatie[Freq. Ma-Vr],$C254,Inventarisatie[Categorie],G$2)</f>
        <v>0</v>
      </c>
      <c r="H254" s="192">
        <f ca="1">SUMIFS(Inventarisatie[Oppervlakte],Inventarisatie[Locatie],$BC254,Inventarisatie[Freq. Ma-Vr],$C254,Inventarisatie[Categorie],H$2)</f>
        <v>0</v>
      </c>
      <c r="I254" s="472">
        <f ca="1">SUMIFS(Inventarisatie[Oppervlakte],Inventarisatie[Locatie],$BC254,Inventarisatie[Freq. Ma-Vr],$C254,Inventarisatie[Categorie],I$2)</f>
        <v>0</v>
      </c>
      <c r="J254" s="472">
        <f ca="1">SUMIFS(Inventarisatie[Oppervlakte],Inventarisatie[Locatie],$BC254,Inventarisatie[Freq. Ma-Vr],$C254,Inventarisatie[Categorie],J$2)</f>
        <v>0</v>
      </c>
      <c r="K254" s="529"/>
      <c r="L254" s="316" t="b">
        <f>IF(_xlfn.XLOOKUP(BC254,Tabel2[Locatiecode],Tabel2[Type locatie],"",0)="vaccin",TRUE,FALSE)</f>
        <v>0</v>
      </c>
      <c r="BD254" s="9" t="str">
        <f t="shared" ca="1" si="3"/>
        <v/>
      </c>
    </row>
    <row r="255" spans="1:56" ht="0.2" customHeight="1" x14ac:dyDescent="0.2">
      <c r="A255" s="172" cm="1">
        <f t="array" aca="1" ref="A255" ca="1">_xlfn.IFS(SUM(D255:J255)&gt;0,1,OFFSET($K255,-MOD(BB255+4,5),0)=0,2,TRUE,0)</f>
        <v>2</v>
      </c>
      <c r="B255" s="527">
        <f>BC255</f>
        <v>0</v>
      </c>
      <c r="C255" s="208">
        <v>255</v>
      </c>
      <c r="D255" s="194">
        <f ca="1">SUMIFS(Inventarisatie[Oppervlakte],Inventarisatie[Locatie],$BC255,Inventarisatie[Freq. Ma-Vr],$C255,Inventarisatie[Categorie],D$2)</f>
        <v>0</v>
      </c>
      <c r="E255" s="192">
        <f ca="1">SUMIFS(Inventarisatie[Oppervlakte],Inventarisatie[Locatie],$BC255,Inventarisatie[Freq. Ma-Vr],$C255,Inventarisatie[Categorie],E$2)</f>
        <v>0</v>
      </c>
      <c r="F255" s="192">
        <f ca="1">SUMIFS(Inventarisatie[Oppervlakte],Inventarisatie[Locatie],$BC255,Inventarisatie[Freq. Ma-Vr],$C255,Inventarisatie[Categorie],F$2)</f>
        <v>0</v>
      </c>
      <c r="G255" s="192">
        <f ca="1">SUMIFS(Inventarisatie[Oppervlakte],Inventarisatie[Locatie],$BC255,Inventarisatie[Freq. Ma-Vr],$C255,Inventarisatie[Categorie],G$2)</f>
        <v>0</v>
      </c>
      <c r="H255" s="192">
        <f ca="1">SUMIFS(Inventarisatie[Oppervlakte],Inventarisatie[Locatie],$BC255,Inventarisatie[Freq. Ma-Vr],$C255,Inventarisatie[Categorie],H$2)</f>
        <v>0</v>
      </c>
      <c r="I255" s="472">
        <f ca="1">SUMIFS(Inventarisatie[Oppervlakte],Inventarisatie[Locatie],$BC255,Inventarisatie[Freq. Ma-Vr],$C255,Inventarisatie[Categorie],I$2)</f>
        <v>0</v>
      </c>
      <c r="J255" s="472">
        <f ca="1">SUMIFS(Inventarisatie[Oppervlakte],Inventarisatie[Locatie],$BC255,Inventarisatie[Freq. Ma-Vr],$C255,Inventarisatie[Categorie],J$2)</f>
        <v>0</v>
      </c>
      <c r="K255" s="528">
        <f ca="1">SUM(D255:J260)</f>
        <v>0</v>
      </c>
      <c r="L255" s="316" t="b">
        <f>IF(_xlfn.XLOOKUP(BC255,Tabel2[Locatiecode],Tabel2[Type locatie],"",0)="vaccin",TRUE,FALSE)</f>
        <v>0</v>
      </c>
      <c r="BD255" s="9" t="str">
        <f t="shared" ca="1" si="3"/>
        <v/>
      </c>
    </row>
    <row r="256" spans="1:56" ht="0.2" customHeight="1" x14ac:dyDescent="0.2">
      <c r="A256" s="172" cm="1">
        <f t="array" aca="1" ref="A256" ca="1">_xlfn.IFS(SUM(D256:J256)&gt;0,1,OFFSET($K256,-MOD(BB256+4,5),0)=0,2,TRUE,0)</f>
        <v>2</v>
      </c>
      <c r="B256" s="527"/>
      <c r="C256" s="208">
        <v>204</v>
      </c>
      <c r="D256" s="194">
        <f ca="1">SUMIFS(Inventarisatie[Oppervlakte],Inventarisatie[Locatie],$BC256,Inventarisatie[Freq. Ma-Vr],$C256,Inventarisatie[Categorie],D$2)</f>
        <v>0</v>
      </c>
      <c r="E256" s="192">
        <f ca="1">SUMIFS(Inventarisatie[Oppervlakte],Inventarisatie[Locatie],$BC256,Inventarisatie[Freq. Ma-Vr],$C256,Inventarisatie[Categorie],E$2)</f>
        <v>0</v>
      </c>
      <c r="F256" s="192">
        <f ca="1">SUMIFS(Inventarisatie[Oppervlakte],Inventarisatie[Locatie],$BC256,Inventarisatie[Freq. Ma-Vr],$C256,Inventarisatie[Categorie],F$2)</f>
        <v>0</v>
      </c>
      <c r="G256" s="192">
        <f ca="1">SUMIFS(Inventarisatie[Oppervlakte],Inventarisatie[Locatie],$BC256,Inventarisatie[Freq. Ma-Vr],$C256,Inventarisatie[Categorie],G$2)</f>
        <v>0</v>
      </c>
      <c r="H256" s="192">
        <f ca="1">SUMIFS(Inventarisatie[Oppervlakte],Inventarisatie[Locatie],$BC256,Inventarisatie[Freq. Ma-Vr],$C256,Inventarisatie[Categorie],H$2)</f>
        <v>0</v>
      </c>
      <c r="I256" s="472">
        <f ca="1">SUMIFS(Inventarisatie[Oppervlakte],Inventarisatie[Locatie],$BC256,Inventarisatie[Freq. Ma-Vr],$C256,Inventarisatie[Categorie],I$2)</f>
        <v>0</v>
      </c>
      <c r="J256" s="472">
        <f ca="1">SUMIFS(Inventarisatie[Oppervlakte],Inventarisatie[Locatie],$BC256,Inventarisatie[Freq. Ma-Vr],$C256,Inventarisatie[Categorie],J$2)</f>
        <v>0</v>
      </c>
      <c r="K256" s="528"/>
      <c r="L256" s="316" t="b">
        <f>IF(_xlfn.XLOOKUP(BC256,Tabel2[Locatiecode],Tabel2[Type locatie],"",0)="vaccin",TRUE,FALSE)</f>
        <v>0</v>
      </c>
      <c r="BD256" s="9" t="str">
        <f t="shared" ca="1" si="3"/>
        <v/>
      </c>
    </row>
    <row r="257" spans="1:56" ht="0.2" customHeight="1" x14ac:dyDescent="0.2">
      <c r="A257" s="172" cm="1">
        <f t="array" aca="1" ref="A257" ca="1">_xlfn.IFS(SUM(D257:J257)&gt;0,1,OFFSET($K257,-MOD(BB257+4,5),0)=0,2,TRUE,0)</f>
        <v>2</v>
      </c>
      <c r="B257" s="527"/>
      <c r="C257" s="208">
        <v>156</v>
      </c>
      <c r="D257" s="194">
        <f ca="1">SUMIFS(Inventarisatie[Oppervlakte],Inventarisatie[Locatie],$BC257,Inventarisatie[Freq. Ma-Vr],$C257,Inventarisatie[Categorie],D$2)</f>
        <v>0</v>
      </c>
      <c r="E257" s="192">
        <f ca="1">SUMIFS(Inventarisatie[Oppervlakte],Inventarisatie[Locatie],$BC257,Inventarisatie[Freq. Ma-Vr],$C257,Inventarisatie[Categorie],E$2)</f>
        <v>0</v>
      </c>
      <c r="F257" s="192">
        <f ca="1">SUMIFS(Inventarisatie[Oppervlakte],Inventarisatie[Locatie],$BC257,Inventarisatie[Freq. Ma-Vr],$C257,Inventarisatie[Categorie],F$2)</f>
        <v>0</v>
      </c>
      <c r="G257" s="192">
        <f ca="1">SUMIFS(Inventarisatie[Oppervlakte],Inventarisatie[Locatie],$BC257,Inventarisatie[Freq. Ma-Vr],$C257,Inventarisatie[Categorie],G$2)</f>
        <v>0</v>
      </c>
      <c r="H257" s="192">
        <f ca="1">SUMIFS(Inventarisatie[Oppervlakte],Inventarisatie[Locatie],$BC257,Inventarisatie[Freq. Ma-Vr],$C257,Inventarisatie[Categorie],H$2)</f>
        <v>0</v>
      </c>
      <c r="I257" s="472">
        <f ca="1">SUMIFS(Inventarisatie[Oppervlakte],Inventarisatie[Locatie],$BC257,Inventarisatie[Freq. Ma-Vr],$C257,Inventarisatie[Categorie],I$2)</f>
        <v>0</v>
      </c>
      <c r="J257" s="472">
        <f ca="1">SUMIFS(Inventarisatie[Oppervlakte],Inventarisatie[Locatie],$BC257,Inventarisatie[Freq. Ma-Vr],$C257,Inventarisatie[Categorie],J$2)</f>
        <v>0</v>
      </c>
      <c r="K257" s="529"/>
      <c r="L257" s="316" t="b">
        <f>IF(_xlfn.XLOOKUP(BC257,Tabel2[Locatiecode],Tabel2[Type locatie],"",0)="vaccin",TRUE,FALSE)</f>
        <v>0</v>
      </c>
      <c r="BD257" s="9" t="str">
        <f t="shared" ca="1" si="3"/>
        <v/>
      </c>
    </row>
    <row r="258" spans="1:56" ht="0.2" customHeight="1" x14ac:dyDescent="0.2">
      <c r="A258" s="172" cm="1">
        <f t="array" aca="1" ref="A258" ca="1">_xlfn.IFS(SUM(D258:J258)&gt;0,1,OFFSET($K258,-MOD(BB258+4,5),0)=0,2,TRUE,0)</f>
        <v>2</v>
      </c>
      <c r="B258" s="527"/>
      <c r="C258" s="208">
        <v>104</v>
      </c>
      <c r="D258" s="194">
        <f ca="1">SUMIFS(Inventarisatie[Oppervlakte],Inventarisatie[Locatie],$BC258,Inventarisatie[Freq. Ma-Vr],$C258,Inventarisatie[Categorie],D$2)</f>
        <v>0</v>
      </c>
      <c r="E258" s="192">
        <f ca="1">SUMIFS(Inventarisatie[Oppervlakte],Inventarisatie[Locatie],$BC258,Inventarisatie[Freq. Ma-Vr],$C258,Inventarisatie[Categorie],E$2)</f>
        <v>0</v>
      </c>
      <c r="F258" s="192">
        <f ca="1">SUMIFS(Inventarisatie[Oppervlakte],Inventarisatie[Locatie],$BC258,Inventarisatie[Freq. Ma-Vr],$C258,Inventarisatie[Categorie],F$2)</f>
        <v>0</v>
      </c>
      <c r="G258" s="192">
        <f ca="1">SUMIFS(Inventarisatie[Oppervlakte],Inventarisatie[Locatie],$BC258,Inventarisatie[Freq. Ma-Vr],$C258,Inventarisatie[Categorie],G$2)</f>
        <v>0</v>
      </c>
      <c r="H258" s="192">
        <f ca="1">SUMIFS(Inventarisatie[Oppervlakte],Inventarisatie[Locatie],$BC258,Inventarisatie[Freq. Ma-Vr],$C258,Inventarisatie[Categorie],H$2)</f>
        <v>0</v>
      </c>
      <c r="I258" s="472">
        <f ca="1">SUMIFS(Inventarisatie[Oppervlakte],Inventarisatie[Locatie],$BC258,Inventarisatie[Freq. Ma-Vr],$C258,Inventarisatie[Categorie],I$2)</f>
        <v>0</v>
      </c>
      <c r="J258" s="472">
        <f ca="1">SUMIFS(Inventarisatie[Oppervlakte],Inventarisatie[Locatie],$BC258,Inventarisatie[Freq. Ma-Vr],$C258,Inventarisatie[Categorie],J$2)</f>
        <v>0</v>
      </c>
      <c r="K258" s="529"/>
      <c r="L258" s="316" t="b">
        <f>IF(_xlfn.XLOOKUP(BC258,Tabel2[Locatiecode],Tabel2[Type locatie],"",0)="vaccin",TRUE,FALSE)</f>
        <v>0</v>
      </c>
      <c r="BD258" s="9" t="str">
        <f t="shared" ca="1" si="3"/>
        <v/>
      </c>
    </row>
    <row r="259" spans="1:56" ht="0.2" customHeight="1" x14ac:dyDescent="0.2">
      <c r="A259" s="172" cm="1">
        <f t="array" aca="1" ref="A259" ca="1">_xlfn.IFS(SUM(D259:J259)&gt;0,1,OFFSET($K259,-MOD(BB259+4,5),0)=0,2,TRUE,0)</f>
        <v>2</v>
      </c>
      <c r="B259" s="527"/>
      <c r="C259" s="208">
        <v>52</v>
      </c>
      <c r="D259" s="194">
        <f ca="1">SUMIFS(Inventarisatie[Oppervlakte],Inventarisatie[Locatie],$BC259,Inventarisatie[Freq. Ma-Vr],$C259,Inventarisatie[Categorie],D$2)</f>
        <v>0</v>
      </c>
      <c r="E259" s="192">
        <f ca="1">SUMIFS(Inventarisatie[Oppervlakte],Inventarisatie[Locatie],$BC259,Inventarisatie[Freq. Ma-Vr],$C259,Inventarisatie[Categorie],E$2)</f>
        <v>0</v>
      </c>
      <c r="F259" s="192">
        <f ca="1">SUMIFS(Inventarisatie[Oppervlakte],Inventarisatie[Locatie],$BC259,Inventarisatie[Freq. Ma-Vr],$C259,Inventarisatie[Categorie],F$2)</f>
        <v>0</v>
      </c>
      <c r="G259" s="192">
        <f ca="1">SUMIFS(Inventarisatie[Oppervlakte],Inventarisatie[Locatie],$BC259,Inventarisatie[Freq. Ma-Vr],$C259,Inventarisatie[Categorie],G$2)</f>
        <v>0</v>
      </c>
      <c r="H259" s="192">
        <f ca="1">SUMIFS(Inventarisatie[Oppervlakte],Inventarisatie[Locatie],$BC259,Inventarisatie[Freq. Ma-Vr],$C259,Inventarisatie[Categorie],H$2)</f>
        <v>0</v>
      </c>
      <c r="I259" s="472">
        <f ca="1">SUMIFS(Inventarisatie[Oppervlakte],Inventarisatie[Locatie],$BC259,Inventarisatie[Freq. Ma-Vr],$C259,Inventarisatie[Categorie],I$2)</f>
        <v>0</v>
      </c>
      <c r="J259" s="472">
        <f ca="1">SUMIFS(Inventarisatie[Oppervlakte],Inventarisatie[Locatie],$BC259,Inventarisatie[Freq. Ma-Vr],$C259,Inventarisatie[Categorie],J$2)</f>
        <v>0</v>
      </c>
      <c r="K259" s="529"/>
      <c r="L259" s="316" t="b">
        <f>IF(_xlfn.XLOOKUP(BC259,Tabel2[Locatiecode],Tabel2[Type locatie],"",0)="vaccin",TRUE,FALSE)</f>
        <v>0</v>
      </c>
      <c r="BD259" s="9" t="str">
        <f t="shared" ca="1" si="3"/>
        <v/>
      </c>
    </row>
    <row r="260" spans="1:56" ht="0.2" customHeight="1" x14ac:dyDescent="0.2">
      <c r="A260" s="172" cm="1">
        <f t="array" aca="1" ref="A260" ca="1">_xlfn.IFS(SUM(D260:J260)&gt;0,1,OFFSET($K260,-MOD(BB260+4,5),0)=0,2,TRUE,0)</f>
        <v>2</v>
      </c>
      <c r="B260" s="527"/>
      <c r="C260" s="208">
        <v>4</v>
      </c>
      <c r="D260" s="194">
        <f ca="1">SUMIFS(Inventarisatie[Oppervlakte],Inventarisatie[Locatie],$BC260,Inventarisatie[Freq. Ma-Vr],$C260,Inventarisatie[Categorie],D$2)</f>
        <v>0</v>
      </c>
      <c r="E260" s="192">
        <f ca="1">SUMIFS(Inventarisatie[Oppervlakte],Inventarisatie[Locatie],$BC260,Inventarisatie[Freq. Ma-Vr],$C260,Inventarisatie[Categorie],E$2)</f>
        <v>0</v>
      </c>
      <c r="F260" s="192">
        <f ca="1">SUMIFS(Inventarisatie[Oppervlakte],Inventarisatie[Locatie],$BC260,Inventarisatie[Freq. Ma-Vr],$C260,Inventarisatie[Categorie],F$2)</f>
        <v>0</v>
      </c>
      <c r="G260" s="192">
        <f ca="1">SUMIFS(Inventarisatie[Oppervlakte],Inventarisatie[Locatie],$BC260,Inventarisatie[Freq. Ma-Vr],$C260,Inventarisatie[Categorie],G$2)</f>
        <v>0</v>
      </c>
      <c r="H260" s="192">
        <f ca="1">SUMIFS(Inventarisatie[Oppervlakte],Inventarisatie[Locatie],$BC260,Inventarisatie[Freq. Ma-Vr],$C260,Inventarisatie[Categorie],H$2)</f>
        <v>0</v>
      </c>
      <c r="I260" s="472">
        <f ca="1">SUMIFS(Inventarisatie[Oppervlakte],Inventarisatie[Locatie],$BC260,Inventarisatie[Freq. Ma-Vr],$C260,Inventarisatie[Categorie],I$2)</f>
        <v>0</v>
      </c>
      <c r="J260" s="472">
        <f ca="1">SUMIFS(Inventarisatie[Oppervlakte],Inventarisatie[Locatie],$BC260,Inventarisatie[Freq. Ma-Vr],$C260,Inventarisatie[Categorie],J$2)</f>
        <v>0</v>
      </c>
      <c r="K260" s="529"/>
      <c r="L260" s="316" t="b">
        <f>IF(_xlfn.XLOOKUP(BC260,Tabel2[Locatiecode],Tabel2[Type locatie],"",0)="vaccin",TRUE,FALSE)</f>
        <v>0</v>
      </c>
      <c r="BD260" s="9" t="str">
        <f t="shared" ref="BD260:BD302" ca="1" si="4">IF(SUM(D260:J260)&gt;0,C260,"")</f>
        <v/>
      </c>
    </row>
    <row r="261" spans="1:56" ht="0.2" customHeight="1" x14ac:dyDescent="0.2">
      <c r="A261" s="172" cm="1">
        <f t="array" aca="1" ref="A261" ca="1">_xlfn.IFS(SUM(D261:J261)&gt;0,1,OFFSET($K261,-MOD(BB261+4,5),0)=0,2,TRUE,0)</f>
        <v>2</v>
      </c>
      <c r="B261" s="527">
        <f>BC261</f>
        <v>0</v>
      </c>
      <c r="C261" s="208">
        <v>255</v>
      </c>
      <c r="D261" s="194">
        <f ca="1">SUMIFS(Inventarisatie[Oppervlakte],Inventarisatie[Locatie],$BC261,Inventarisatie[Freq. Ma-Vr],$C261,Inventarisatie[Categorie],D$2)</f>
        <v>0</v>
      </c>
      <c r="E261" s="192">
        <f ca="1">SUMIFS(Inventarisatie[Oppervlakte],Inventarisatie[Locatie],$BC261,Inventarisatie[Freq. Ma-Vr],$C261,Inventarisatie[Categorie],E$2)</f>
        <v>0</v>
      </c>
      <c r="F261" s="192">
        <f ca="1">SUMIFS(Inventarisatie[Oppervlakte],Inventarisatie[Locatie],$BC261,Inventarisatie[Freq. Ma-Vr],$C261,Inventarisatie[Categorie],F$2)</f>
        <v>0</v>
      </c>
      <c r="G261" s="192">
        <f ca="1">SUMIFS(Inventarisatie[Oppervlakte],Inventarisatie[Locatie],$BC261,Inventarisatie[Freq. Ma-Vr],$C261,Inventarisatie[Categorie],G$2)</f>
        <v>0</v>
      </c>
      <c r="H261" s="192">
        <f ca="1">SUMIFS(Inventarisatie[Oppervlakte],Inventarisatie[Locatie],$BC261,Inventarisatie[Freq. Ma-Vr],$C261,Inventarisatie[Categorie],H$2)</f>
        <v>0</v>
      </c>
      <c r="I261" s="472">
        <f ca="1">SUMIFS(Inventarisatie[Oppervlakte],Inventarisatie[Locatie],$BC261,Inventarisatie[Freq. Ma-Vr],$C261,Inventarisatie[Categorie],I$2)</f>
        <v>0</v>
      </c>
      <c r="J261" s="472">
        <f ca="1">SUMIFS(Inventarisatie[Oppervlakte],Inventarisatie[Locatie],$BC261,Inventarisatie[Freq. Ma-Vr],$C261,Inventarisatie[Categorie],J$2)</f>
        <v>0</v>
      </c>
      <c r="K261" s="528">
        <f ca="1">SUM(D261:J266)</f>
        <v>0</v>
      </c>
      <c r="L261" s="316" t="b">
        <f>IF(_xlfn.XLOOKUP(BC261,Tabel2[Locatiecode],Tabel2[Type locatie],"",0)="vaccin",TRUE,FALSE)</f>
        <v>0</v>
      </c>
      <c r="BD261" s="9" t="str">
        <f t="shared" ca="1" si="4"/>
        <v/>
      </c>
    </row>
    <row r="262" spans="1:56" ht="0.2" customHeight="1" x14ac:dyDescent="0.2">
      <c r="A262" s="172" cm="1">
        <f t="array" aca="1" ref="A262" ca="1">_xlfn.IFS(SUM(D262:J262)&gt;0,1,OFFSET($K262,-MOD(BB262+4,5),0)=0,2,TRUE,0)</f>
        <v>2</v>
      </c>
      <c r="B262" s="527"/>
      <c r="C262" s="208">
        <v>204</v>
      </c>
      <c r="D262" s="194">
        <f ca="1">SUMIFS(Inventarisatie[Oppervlakte],Inventarisatie[Locatie],$BC262,Inventarisatie[Freq. Ma-Vr],$C262,Inventarisatie[Categorie],D$2)</f>
        <v>0</v>
      </c>
      <c r="E262" s="192">
        <f ca="1">SUMIFS(Inventarisatie[Oppervlakte],Inventarisatie[Locatie],$BC262,Inventarisatie[Freq. Ma-Vr],$C262,Inventarisatie[Categorie],E$2)</f>
        <v>0</v>
      </c>
      <c r="F262" s="192">
        <f ca="1">SUMIFS(Inventarisatie[Oppervlakte],Inventarisatie[Locatie],$BC262,Inventarisatie[Freq. Ma-Vr],$C262,Inventarisatie[Categorie],F$2)</f>
        <v>0</v>
      </c>
      <c r="G262" s="192">
        <f ca="1">SUMIFS(Inventarisatie[Oppervlakte],Inventarisatie[Locatie],$BC262,Inventarisatie[Freq. Ma-Vr],$C262,Inventarisatie[Categorie],G$2)</f>
        <v>0</v>
      </c>
      <c r="H262" s="192">
        <f ca="1">SUMIFS(Inventarisatie[Oppervlakte],Inventarisatie[Locatie],$BC262,Inventarisatie[Freq. Ma-Vr],$C262,Inventarisatie[Categorie],H$2)</f>
        <v>0</v>
      </c>
      <c r="I262" s="472">
        <f ca="1">SUMIFS(Inventarisatie[Oppervlakte],Inventarisatie[Locatie],$BC262,Inventarisatie[Freq. Ma-Vr],$C262,Inventarisatie[Categorie],I$2)</f>
        <v>0</v>
      </c>
      <c r="J262" s="472">
        <f ca="1">SUMIFS(Inventarisatie[Oppervlakte],Inventarisatie[Locatie],$BC262,Inventarisatie[Freq. Ma-Vr],$C262,Inventarisatie[Categorie],J$2)</f>
        <v>0</v>
      </c>
      <c r="K262" s="528"/>
      <c r="L262" s="316" t="b">
        <f>IF(_xlfn.XLOOKUP(BC262,Tabel2[Locatiecode],Tabel2[Type locatie],"",0)="vaccin",TRUE,FALSE)</f>
        <v>0</v>
      </c>
      <c r="BD262" s="9" t="str">
        <f t="shared" ca="1" si="4"/>
        <v/>
      </c>
    </row>
    <row r="263" spans="1:56" ht="0.2" customHeight="1" x14ac:dyDescent="0.2">
      <c r="A263" s="172" cm="1">
        <f t="array" aca="1" ref="A263" ca="1">_xlfn.IFS(SUM(D263:J263)&gt;0,1,OFFSET($K263,-MOD(BB263+4,5),0)=0,2,TRUE,0)</f>
        <v>2</v>
      </c>
      <c r="B263" s="527"/>
      <c r="C263" s="208">
        <v>156</v>
      </c>
      <c r="D263" s="194">
        <f ca="1">SUMIFS(Inventarisatie[Oppervlakte],Inventarisatie[Locatie],$BC263,Inventarisatie[Freq. Ma-Vr],$C263,Inventarisatie[Categorie],D$2)</f>
        <v>0</v>
      </c>
      <c r="E263" s="192">
        <f ca="1">SUMIFS(Inventarisatie[Oppervlakte],Inventarisatie[Locatie],$BC263,Inventarisatie[Freq. Ma-Vr],$C263,Inventarisatie[Categorie],E$2)</f>
        <v>0</v>
      </c>
      <c r="F263" s="192">
        <f ca="1">SUMIFS(Inventarisatie[Oppervlakte],Inventarisatie[Locatie],$BC263,Inventarisatie[Freq. Ma-Vr],$C263,Inventarisatie[Categorie],F$2)</f>
        <v>0</v>
      </c>
      <c r="G263" s="192">
        <f ca="1">SUMIFS(Inventarisatie[Oppervlakte],Inventarisatie[Locatie],$BC263,Inventarisatie[Freq. Ma-Vr],$C263,Inventarisatie[Categorie],G$2)</f>
        <v>0</v>
      </c>
      <c r="H263" s="192">
        <f ca="1">SUMIFS(Inventarisatie[Oppervlakte],Inventarisatie[Locatie],$BC263,Inventarisatie[Freq. Ma-Vr],$C263,Inventarisatie[Categorie],H$2)</f>
        <v>0</v>
      </c>
      <c r="I263" s="472">
        <f ca="1">SUMIFS(Inventarisatie[Oppervlakte],Inventarisatie[Locatie],$BC263,Inventarisatie[Freq. Ma-Vr],$C263,Inventarisatie[Categorie],I$2)</f>
        <v>0</v>
      </c>
      <c r="J263" s="472">
        <f ca="1">SUMIFS(Inventarisatie[Oppervlakte],Inventarisatie[Locatie],$BC263,Inventarisatie[Freq. Ma-Vr],$C263,Inventarisatie[Categorie],J$2)</f>
        <v>0</v>
      </c>
      <c r="K263" s="529"/>
      <c r="L263" s="316" t="b">
        <f>IF(_xlfn.XLOOKUP(BC263,Tabel2[Locatiecode],Tabel2[Type locatie],"",0)="vaccin",TRUE,FALSE)</f>
        <v>0</v>
      </c>
      <c r="BD263" s="9" t="str">
        <f t="shared" ca="1" si="4"/>
        <v/>
      </c>
    </row>
    <row r="264" spans="1:56" ht="0.2" customHeight="1" x14ac:dyDescent="0.2">
      <c r="A264" s="172" cm="1">
        <f t="array" aca="1" ref="A264" ca="1">_xlfn.IFS(SUM(D264:J264)&gt;0,1,OFFSET($K264,-MOD(BB264+4,5),0)=0,2,TRUE,0)</f>
        <v>2</v>
      </c>
      <c r="B264" s="527"/>
      <c r="C264" s="208">
        <v>104</v>
      </c>
      <c r="D264" s="194">
        <f ca="1">SUMIFS(Inventarisatie[Oppervlakte],Inventarisatie[Locatie],$BC264,Inventarisatie[Freq. Ma-Vr],$C264,Inventarisatie[Categorie],D$2)</f>
        <v>0</v>
      </c>
      <c r="E264" s="192">
        <f ca="1">SUMIFS(Inventarisatie[Oppervlakte],Inventarisatie[Locatie],$BC264,Inventarisatie[Freq. Ma-Vr],$C264,Inventarisatie[Categorie],E$2)</f>
        <v>0</v>
      </c>
      <c r="F264" s="192">
        <f ca="1">SUMIFS(Inventarisatie[Oppervlakte],Inventarisatie[Locatie],$BC264,Inventarisatie[Freq. Ma-Vr],$C264,Inventarisatie[Categorie],F$2)</f>
        <v>0</v>
      </c>
      <c r="G264" s="192">
        <f ca="1">SUMIFS(Inventarisatie[Oppervlakte],Inventarisatie[Locatie],$BC264,Inventarisatie[Freq. Ma-Vr],$C264,Inventarisatie[Categorie],G$2)</f>
        <v>0</v>
      </c>
      <c r="H264" s="192">
        <f ca="1">SUMIFS(Inventarisatie[Oppervlakte],Inventarisatie[Locatie],$BC264,Inventarisatie[Freq. Ma-Vr],$C264,Inventarisatie[Categorie],H$2)</f>
        <v>0</v>
      </c>
      <c r="I264" s="472">
        <f ca="1">SUMIFS(Inventarisatie[Oppervlakte],Inventarisatie[Locatie],$BC264,Inventarisatie[Freq. Ma-Vr],$C264,Inventarisatie[Categorie],I$2)</f>
        <v>0</v>
      </c>
      <c r="J264" s="472">
        <f ca="1">SUMIFS(Inventarisatie[Oppervlakte],Inventarisatie[Locatie],$BC264,Inventarisatie[Freq. Ma-Vr],$C264,Inventarisatie[Categorie],J$2)</f>
        <v>0</v>
      </c>
      <c r="K264" s="529"/>
      <c r="L264" s="316" t="b">
        <f>IF(_xlfn.XLOOKUP(BC264,Tabel2[Locatiecode],Tabel2[Type locatie],"",0)="vaccin",TRUE,FALSE)</f>
        <v>0</v>
      </c>
      <c r="BD264" s="9" t="str">
        <f t="shared" ca="1" si="4"/>
        <v/>
      </c>
    </row>
    <row r="265" spans="1:56" ht="0.2" customHeight="1" x14ac:dyDescent="0.2">
      <c r="A265" s="172" cm="1">
        <f t="array" aca="1" ref="A265" ca="1">_xlfn.IFS(SUM(D265:J265)&gt;0,1,OFFSET($K265,-MOD(BB265+4,5),0)=0,2,TRUE,0)</f>
        <v>2</v>
      </c>
      <c r="B265" s="527"/>
      <c r="C265" s="208">
        <v>52</v>
      </c>
      <c r="D265" s="194">
        <f ca="1">SUMIFS(Inventarisatie[Oppervlakte],Inventarisatie[Locatie],$BC265,Inventarisatie[Freq. Ma-Vr],$C265,Inventarisatie[Categorie],D$2)</f>
        <v>0</v>
      </c>
      <c r="E265" s="192">
        <f ca="1">SUMIFS(Inventarisatie[Oppervlakte],Inventarisatie[Locatie],$BC265,Inventarisatie[Freq. Ma-Vr],$C265,Inventarisatie[Categorie],E$2)</f>
        <v>0</v>
      </c>
      <c r="F265" s="192">
        <f ca="1">SUMIFS(Inventarisatie[Oppervlakte],Inventarisatie[Locatie],$BC265,Inventarisatie[Freq. Ma-Vr],$C265,Inventarisatie[Categorie],F$2)</f>
        <v>0</v>
      </c>
      <c r="G265" s="192">
        <f ca="1">SUMIFS(Inventarisatie[Oppervlakte],Inventarisatie[Locatie],$BC265,Inventarisatie[Freq. Ma-Vr],$C265,Inventarisatie[Categorie],G$2)</f>
        <v>0</v>
      </c>
      <c r="H265" s="192">
        <f ca="1">SUMIFS(Inventarisatie[Oppervlakte],Inventarisatie[Locatie],$BC265,Inventarisatie[Freq. Ma-Vr],$C265,Inventarisatie[Categorie],H$2)</f>
        <v>0</v>
      </c>
      <c r="I265" s="472">
        <f ca="1">SUMIFS(Inventarisatie[Oppervlakte],Inventarisatie[Locatie],$BC265,Inventarisatie[Freq. Ma-Vr],$C265,Inventarisatie[Categorie],I$2)</f>
        <v>0</v>
      </c>
      <c r="J265" s="472">
        <f ca="1">SUMIFS(Inventarisatie[Oppervlakte],Inventarisatie[Locatie],$BC265,Inventarisatie[Freq. Ma-Vr],$C265,Inventarisatie[Categorie],J$2)</f>
        <v>0</v>
      </c>
      <c r="K265" s="529"/>
      <c r="L265" s="316" t="b">
        <f>IF(_xlfn.XLOOKUP(BC265,Tabel2[Locatiecode],Tabel2[Type locatie],"",0)="vaccin",TRUE,FALSE)</f>
        <v>0</v>
      </c>
      <c r="BD265" s="9" t="str">
        <f t="shared" ca="1" si="4"/>
        <v/>
      </c>
    </row>
    <row r="266" spans="1:56" ht="0.2" customHeight="1" x14ac:dyDescent="0.2">
      <c r="A266" s="172" cm="1">
        <f t="array" aca="1" ref="A266" ca="1">_xlfn.IFS(SUM(D266:J266)&gt;0,1,OFFSET($K266,-MOD(BB266+4,5),0)=0,2,TRUE,0)</f>
        <v>2</v>
      </c>
      <c r="B266" s="527"/>
      <c r="C266" s="208">
        <v>4</v>
      </c>
      <c r="D266" s="194">
        <f ca="1">SUMIFS(Inventarisatie[Oppervlakte],Inventarisatie[Locatie],$BC266,Inventarisatie[Freq. Ma-Vr],$C266,Inventarisatie[Categorie],D$2)</f>
        <v>0</v>
      </c>
      <c r="E266" s="192">
        <f ca="1">SUMIFS(Inventarisatie[Oppervlakte],Inventarisatie[Locatie],$BC266,Inventarisatie[Freq. Ma-Vr],$C266,Inventarisatie[Categorie],E$2)</f>
        <v>0</v>
      </c>
      <c r="F266" s="192">
        <f ca="1">SUMIFS(Inventarisatie[Oppervlakte],Inventarisatie[Locatie],$BC266,Inventarisatie[Freq. Ma-Vr],$C266,Inventarisatie[Categorie],F$2)</f>
        <v>0</v>
      </c>
      <c r="G266" s="192">
        <f ca="1">SUMIFS(Inventarisatie[Oppervlakte],Inventarisatie[Locatie],$BC266,Inventarisatie[Freq. Ma-Vr],$C266,Inventarisatie[Categorie],G$2)</f>
        <v>0</v>
      </c>
      <c r="H266" s="192">
        <f ca="1">SUMIFS(Inventarisatie[Oppervlakte],Inventarisatie[Locatie],$BC266,Inventarisatie[Freq. Ma-Vr],$C266,Inventarisatie[Categorie],H$2)</f>
        <v>0</v>
      </c>
      <c r="I266" s="472">
        <f ca="1">SUMIFS(Inventarisatie[Oppervlakte],Inventarisatie[Locatie],$BC266,Inventarisatie[Freq. Ma-Vr],$C266,Inventarisatie[Categorie],I$2)</f>
        <v>0</v>
      </c>
      <c r="J266" s="472">
        <f ca="1">SUMIFS(Inventarisatie[Oppervlakte],Inventarisatie[Locatie],$BC266,Inventarisatie[Freq. Ma-Vr],$C266,Inventarisatie[Categorie],J$2)</f>
        <v>0</v>
      </c>
      <c r="K266" s="529"/>
      <c r="L266" s="316" t="b">
        <f>IF(_xlfn.XLOOKUP(BC266,Tabel2[Locatiecode],Tabel2[Type locatie],"",0)="vaccin",TRUE,FALSE)</f>
        <v>0</v>
      </c>
      <c r="BD266" s="9" t="str">
        <f t="shared" ca="1" si="4"/>
        <v/>
      </c>
    </row>
    <row r="267" spans="1:56" ht="0.2" customHeight="1" x14ac:dyDescent="0.2">
      <c r="A267" s="172" cm="1">
        <f t="array" aca="1" ref="A267" ca="1">_xlfn.IFS(SUM(D267:J267)&gt;0,1,OFFSET($K267,-MOD(BB267+4,5),0)=0,2,TRUE,0)</f>
        <v>2</v>
      </c>
      <c r="B267" s="527">
        <f>BC267</f>
        <v>0</v>
      </c>
      <c r="C267" s="208">
        <v>255</v>
      </c>
      <c r="D267" s="194">
        <f ca="1">SUMIFS(Inventarisatie[Oppervlakte],Inventarisatie[Locatie],$BC267,Inventarisatie[Freq. Ma-Vr],$C267,Inventarisatie[Categorie],D$2)</f>
        <v>0</v>
      </c>
      <c r="E267" s="192">
        <f ca="1">SUMIFS(Inventarisatie[Oppervlakte],Inventarisatie[Locatie],$BC267,Inventarisatie[Freq. Ma-Vr],$C267,Inventarisatie[Categorie],E$2)</f>
        <v>0</v>
      </c>
      <c r="F267" s="192">
        <f ca="1">SUMIFS(Inventarisatie[Oppervlakte],Inventarisatie[Locatie],$BC267,Inventarisatie[Freq. Ma-Vr],$C267,Inventarisatie[Categorie],F$2)</f>
        <v>0</v>
      </c>
      <c r="G267" s="192">
        <f ca="1">SUMIFS(Inventarisatie[Oppervlakte],Inventarisatie[Locatie],$BC267,Inventarisatie[Freq. Ma-Vr],$C267,Inventarisatie[Categorie],G$2)</f>
        <v>0</v>
      </c>
      <c r="H267" s="192">
        <f ca="1">SUMIFS(Inventarisatie[Oppervlakte],Inventarisatie[Locatie],$BC267,Inventarisatie[Freq. Ma-Vr],$C267,Inventarisatie[Categorie],H$2)</f>
        <v>0</v>
      </c>
      <c r="I267" s="472">
        <f ca="1">SUMIFS(Inventarisatie[Oppervlakte],Inventarisatie[Locatie],$BC267,Inventarisatie[Freq. Ma-Vr],$C267,Inventarisatie[Categorie],I$2)</f>
        <v>0</v>
      </c>
      <c r="J267" s="472">
        <f ca="1">SUMIFS(Inventarisatie[Oppervlakte],Inventarisatie[Locatie],$BC267,Inventarisatie[Freq. Ma-Vr],$C267,Inventarisatie[Categorie],J$2)</f>
        <v>0</v>
      </c>
      <c r="K267" s="528">
        <f ca="1">SUM(D267:J272)</f>
        <v>0</v>
      </c>
      <c r="L267" s="316" t="b">
        <f>IF(_xlfn.XLOOKUP(BC267,Tabel2[Locatiecode],Tabel2[Type locatie],"",0)="vaccin",TRUE,FALSE)</f>
        <v>0</v>
      </c>
      <c r="BD267" s="9" t="str">
        <f t="shared" ca="1" si="4"/>
        <v/>
      </c>
    </row>
    <row r="268" spans="1:56" ht="0.2" customHeight="1" x14ac:dyDescent="0.2">
      <c r="A268" s="172" cm="1">
        <f t="array" aca="1" ref="A268" ca="1">_xlfn.IFS(SUM(D268:J268)&gt;0,1,OFFSET($K268,-MOD(BB268+4,5),0)=0,2,TRUE,0)</f>
        <v>2</v>
      </c>
      <c r="B268" s="527"/>
      <c r="C268" s="208">
        <v>204</v>
      </c>
      <c r="D268" s="194">
        <f ca="1">SUMIFS(Inventarisatie[Oppervlakte],Inventarisatie[Locatie],$BC268,Inventarisatie[Freq. Ma-Vr],$C268,Inventarisatie[Categorie],D$2)</f>
        <v>0</v>
      </c>
      <c r="E268" s="192">
        <f ca="1">SUMIFS(Inventarisatie[Oppervlakte],Inventarisatie[Locatie],$BC268,Inventarisatie[Freq. Ma-Vr],$C268,Inventarisatie[Categorie],E$2)</f>
        <v>0</v>
      </c>
      <c r="F268" s="192">
        <f ca="1">SUMIFS(Inventarisatie[Oppervlakte],Inventarisatie[Locatie],$BC268,Inventarisatie[Freq. Ma-Vr],$C268,Inventarisatie[Categorie],F$2)</f>
        <v>0</v>
      </c>
      <c r="G268" s="192">
        <f ca="1">SUMIFS(Inventarisatie[Oppervlakte],Inventarisatie[Locatie],$BC268,Inventarisatie[Freq. Ma-Vr],$C268,Inventarisatie[Categorie],G$2)</f>
        <v>0</v>
      </c>
      <c r="H268" s="192">
        <f ca="1">SUMIFS(Inventarisatie[Oppervlakte],Inventarisatie[Locatie],$BC268,Inventarisatie[Freq. Ma-Vr],$C268,Inventarisatie[Categorie],H$2)</f>
        <v>0</v>
      </c>
      <c r="I268" s="472">
        <f ca="1">SUMIFS(Inventarisatie[Oppervlakte],Inventarisatie[Locatie],$BC268,Inventarisatie[Freq. Ma-Vr],$C268,Inventarisatie[Categorie],I$2)</f>
        <v>0</v>
      </c>
      <c r="J268" s="472">
        <f ca="1">SUMIFS(Inventarisatie[Oppervlakte],Inventarisatie[Locatie],$BC268,Inventarisatie[Freq. Ma-Vr],$C268,Inventarisatie[Categorie],J$2)</f>
        <v>0</v>
      </c>
      <c r="K268" s="528"/>
      <c r="L268" s="316" t="b">
        <f>IF(_xlfn.XLOOKUP(BC268,Tabel2[Locatiecode],Tabel2[Type locatie],"",0)="vaccin",TRUE,FALSE)</f>
        <v>0</v>
      </c>
      <c r="BD268" s="9" t="str">
        <f t="shared" ca="1" si="4"/>
        <v/>
      </c>
    </row>
    <row r="269" spans="1:56" ht="0.2" customHeight="1" x14ac:dyDescent="0.2">
      <c r="A269" s="172" cm="1">
        <f t="array" aca="1" ref="A269" ca="1">_xlfn.IFS(SUM(D269:J269)&gt;0,1,OFFSET($K269,-MOD(BB269+4,5),0)=0,2,TRUE,0)</f>
        <v>2</v>
      </c>
      <c r="B269" s="527"/>
      <c r="C269" s="208">
        <v>156</v>
      </c>
      <c r="D269" s="194">
        <f ca="1">SUMIFS(Inventarisatie[Oppervlakte],Inventarisatie[Locatie],$BC269,Inventarisatie[Freq. Ma-Vr],$C269,Inventarisatie[Categorie],D$2)</f>
        <v>0</v>
      </c>
      <c r="E269" s="192">
        <f ca="1">SUMIFS(Inventarisatie[Oppervlakte],Inventarisatie[Locatie],$BC269,Inventarisatie[Freq. Ma-Vr],$C269,Inventarisatie[Categorie],E$2)</f>
        <v>0</v>
      </c>
      <c r="F269" s="192">
        <f ca="1">SUMIFS(Inventarisatie[Oppervlakte],Inventarisatie[Locatie],$BC269,Inventarisatie[Freq. Ma-Vr],$C269,Inventarisatie[Categorie],F$2)</f>
        <v>0</v>
      </c>
      <c r="G269" s="192">
        <f ca="1">SUMIFS(Inventarisatie[Oppervlakte],Inventarisatie[Locatie],$BC269,Inventarisatie[Freq. Ma-Vr],$C269,Inventarisatie[Categorie],G$2)</f>
        <v>0</v>
      </c>
      <c r="H269" s="192">
        <f ca="1">SUMIFS(Inventarisatie[Oppervlakte],Inventarisatie[Locatie],$BC269,Inventarisatie[Freq. Ma-Vr],$C269,Inventarisatie[Categorie],H$2)</f>
        <v>0</v>
      </c>
      <c r="I269" s="472">
        <f ca="1">SUMIFS(Inventarisatie[Oppervlakte],Inventarisatie[Locatie],$BC269,Inventarisatie[Freq. Ma-Vr],$C269,Inventarisatie[Categorie],I$2)</f>
        <v>0</v>
      </c>
      <c r="J269" s="472">
        <f ca="1">SUMIFS(Inventarisatie[Oppervlakte],Inventarisatie[Locatie],$BC269,Inventarisatie[Freq. Ma-Vr],$C269,Inventarisatie[Categorie],J$2)</f>
        <v>0</v>
      </c>
      <c r="K269" s="529"/>
      <c r="L269" s="316" t="b">
        <f>IF(_xlfn.XLOOKUP(BC269,Tabel2[Locatiecode],Tabel2[Type locatie],"",0)="vaccin",TRUE,FALSE)</f>
        <v>0</v>
      </c>
      <c r="BD269" s="9" t="str">
        <f t="shared" ca="1" si="4"/>
        <v/>
      </c>
    </row>
    <row r="270" spans="1:56" ht="0.2" customHeight="1" x14ac:dyDescent="0.2">
      <c r="A270" s="172" cm="1">
        <f t="array" aca="1" ref="A270" ca="1">_xlfn.IFS(SUM(D270:J270)&gt;0,1,OFFSET($K270,-MOD(BB270+4,5),0)=0,2,TRUE,0)</f>
        <v>2</v>
      </c>
      <c r="B270" s="527"/>
      <c r="C270" s="208">
        <v>104</v>
      </c>
      <c r="D270" s="194">
        <f ca="1">SUMIFS(Inventarisatie[Oppervlakte],Inventarisatie[Locatie],$BC270,Inventarisatie[Freq. Ma-Vr],$C270,Inventarisatie[Categorie],D$2)</f>
        <v>0</v>
      </c>
      <c r="E270" s="192">
        <f ca="1">SUMIFS(Inventarisatie[Oppervlakte],Inventarisatie[Locatie],$BC270,Inventarisatie[Freq. Ma-Vr],$C270,Inventarisatie[Categorie],E$2)</f>
        <v>0</v>
      </c>
      <c r="F270" s="192">
        <f ca="1">SUMIFS(Inventarisatie[Oppervlakte],Inventarisatie[Locatie],$BC270,Inventarisatie[Freq. Ma-Vr],$C270,Inventarisatie[Categorie],F$2)</f>
        <v>0</v>
      </c>
      <c r="G270" s="192">
        <f ca="1">SUMIFS(Inventarisatie[Oppervlakte],Inventarisatie[Locatie],$BC270,Inventarisatie[Freq. Ma-Vr],$C270,Inventarisatie[Categorie],G$2)</f>
        <v>0</v>
      </c>
      <c r="H270" s="192">
        <f ca="1">SUMIFS(Inventarisatie[Oppervlakte],Inventarisatie[Locatie],$BC270,Inventarisatie[Freq. Ma-Vr],$C270,Inventarisatie[Categorie],H$2)</f>
        <v>0</v>
      </c>
      <c r="I270" s="472">
        <f ca="1">SUMIFS(Inventarisatie[Oppervlakte],Inventarisatie[Locatie],$BC270,Inventarisatie[Freq. Ma-Vr],$C270,Inventarisatie[Categorie],I$2)</f>
        <v>0</v>
      </c>
      <c r="J270" s="472">
        <f ca="1">SUMIFS(Inventarisatie[Oppervlakte],Inventarisatie[Locatie],$BC270,Inventarisatie[Freq. Ma-Vr],$C270,Inventarisatie[Categorie],J$2)</f>
        <v>0</v>
      </c>
      <c r="K270" s="529"/>
      <c r="L270" s="316" t="b">
        <f>IF(_xlfn.XLOOKUP(BC270,Tabel2[Locatiecode],Tabel2[Type locatie],"",0)="vaccin",TRUE,FALSE)</f>
        <v>0</v>
      </c>
      <c r="BD270" s="9" t="str">
        <f t="shared" ca="1" si="4"/>
        <v/>
      </c>
    </row>
    <row r="271" spans="1:56" ht="0.2" customHeight="1" x14ac:dyDescent="0.2">
      <c r="A271" s="172" cm="1">
        <f t="array" aca="1" ref="A271" ca="1">_xlfn.IFS(SUM(D271:J271)&gt;0,1,OFFSET($K271,-MOD(BB271+4,5),0)=0,2,TRUE,0)</f>
        <v>2</v>
      </c>
      <c r="B271" s="527"/>
      <c r="C271" s="208">
        <v>52</v>
      </c>
      <c r="D271" s="194">
        <f ca="1">SUMIFS(Inventarisatie[Oppervlakte],Inventarisatie[Locatie],$BC271,Inventarisatie[Freq. Ma-Vr],$C271,Inventarisatie[Categorie],D$2)</f>
        <v>0</v>
      </c>
      <c r="E271" s="192">
        <f ca="1">SUMIFS(Inventarisatie[Oppervlakte],Inventarisatie[Locatie],$BC271,Inventarisatie[Freq. Ma-Vr],$C271,Inventarisatie[Categorie],E$2)</f>
        <v>0</v>
      </c>
      <c r="F271" s="192">
        <f ca="1">SUMIFS(Inventarisatie[Oppervlakte],Inventarisatie[Locatie],$BC271,Inventarisatie[Freq. Ma-Vr],$C271,Inventarisatie[Categorie],F$2)</f>
        <v>0</v>
      </c>
      <c r="G271" s="192">
        <f ca="1">SUMIFS(Inventarisatie[Oppervlakte],Inventarisatie[Locatie],$BC271,Inventarisatie[Freq. Ma-Vr],$C271,Inventarisatie[Categorie],G$2)</f>
        <v>0</v>
      </c>
      <c r="H271" s="192">
        <f ca="1">SUMIFS(Inventarisatie[Oppervlakte],Inventarisatie[Locatie],$BC271,Inventarisatie[Freq. Ma-Vr],$C271,Inventarisatie[Categorie],H$2)</f>
        <v>0</v>
      </c>
      <c r="I271" s="472">
        <f ca="1">SUMIFS(Inventarisatie[Oppervlakte],Inventarisatie[Locatie],$BC271,Inventarisatie[Freq. Ma-Vr],$C271,Inventarisatie[Categorie],I$2)</f>
        <v>0</v>
      </c>
      <c r="J271" s="472">
        <f ca="1">SUMIFS(Inventarisatie[Oppervlakte],Inventarisatie[Locatie],$BC271,Inventarisatie[Freq. Ma-Vr],$C271,Inventarisatie[Categorie],J$2)</f>
        <v>0</v>
      </c>
      <c r="K271" s="529"/>
      <c r="L271" s="316" t="b">
        <f>IF(_xlfn.XLOOKUP(BC271,Tabel2[Locatiecode],Tabel2[Type locatie],"",0)="vaccin",TRUE,FALSE)</f>
        <v>0</v>
      </c>
      <c r="BD271" s="9" t="str">
        <f t="shared" ca="1" si="4"/>
        <v/>
      </c>
    </row>
    <row r="272" spans="1:56" ht="0.2" customHeight="1" x14ac:dyDescent="0.2">
      <c r="A272" s="172" cm="1">
        <f t="array" aca="1" ref="A272" ca="1">_xlfn.IFS(SUM(D272:J272)&gt;0,1,OFFSET($K272,-MOD(BB272+4,5),0)=0,2,TRUE,0)</f>
        <v>2</v>
      </c>
      <c r="B272" s="527"/>
      <c r="C272" s="208">
        <v>4</v>
      </c>
      <c r="D272" s="194">
        <f ca="1">SUMIFS(Inventarisatie[Oppervlakte],Inventarisatie[Locatie],$BC272,Inventarisatie[Freq. Ma-Vr],$C272,Inventarisatie[Categorie],D$2)</f>
        <v>0</v>
      </c>
      <c r="E272" s="192">
        <f ca="1">SUMIFS(Inventarisatie[Oppervlakte],Inventarisatie[Locatie],$BC272,Inventarisatie[Freq. Ma-Vr],$C272,Inventarisatie[Categorie],E$2)</f>
        <v>0</v>
      </c>
      <c r="F272" s="192">
        <f ca="1">SUMIFS(Inventarisatie[Oppervlakte],Inventarisatie[Locatie],$BC272,Inventarisatie[Freq. Ma-Vr],$C272,Inventarisatie[Categorie],F$2)</f>
        <v>0</v>
      </c>
      <c r="G272" s="192">
        <f ca="1">SUMIFS(Inventarisatie[Oppervlakte],Inventarisatie[Locatie],$BC272,Inventarisatie[Freq. Ma-Vr],$C272,Inventarisatie[Categorie],G$2)</f>
        <v>0</v>
      </c>
      <c r="H272" s="192">
        <f ca="1">SUMIFS(Inventarisatie[Oppervlakte],Inventarisatie[Locatie],$BC272,Inventarisatie[Freq. Ma-Vr],$C272,Inventarisatie[Categorie],H$2)</f>
        <v>0</v>
      </c>
      <c r="I272" s="472">
        <f ca="1">SUMIFS(Inventarisatie[Oppervlakte],Inventarisatie[Locatie],$BC272,Inventarisatie[Freq. Ma-Vr],$C272,Inventarisatie[Categorie],I$2)</f>
        <v>0</v>
      </c>
      <c r="J272" s="472">
        <f ca="1">SUMIFS(Inventarisatie[Oppervlakte],Inventarisatie[Locatie],$BC272,Inventarisatie[Freq. Ma-Vr],$C272,Inventarisatie[Categorie],J$2)</f>
        <v>0</v>
      </c>
      <c r="K272" s="529"/>
      <c r="L272" s="316" t="b">
        <f>IF(_xlfn.XLOOKUP(BC272,Tabel2[Locatiecode],Tabel2[Type locatie],"",0)="vaccin",TRUE,FALSE)</f>
        <v>0</v>
      </c>
      <c r="BD272" s="9" t="str">
        <f t="shared" ca="1" si="4"/>
        <v/>
      </c>
    </row>
    <row r="273" spans="1:56" ht="0.2" customHeight="1" x14ac:dyDescent="0.2">
      <c r="A273" s="172" cm="1">
        <f t="array" aca="1" ref="A273" ca="1">_xlfn.IFS(SUM(D273:J273)&gt;0,1,OFFSET($K273,-MOD(BB273+4,5),0)=0,2,TRUE,0)</f>
        <v>2</v>
      </c>
      <c r="B273" s="527">
        <f>BC273</f>
        <v>0</v>
      </c>
      <c r="C273" s="208">
        <v>255</v>
      </c>
      <c r="D273" s="194">
        <f ca="1">SUMIFS(Inventarisatie[Oppervlakte],Inventarisatie[Locatie],$BC273,Inventarisatie[Freq. Ma-Vr],$C273,Inventarisatie[Categorie],D$2)</f>
        <v>0</v>
      </c>
      <c r="E273" s="192">
        <f ca="1">SUMIFS(Inventarisatie[Oppervlakte],Inventarisatie[Locatie],$BC273,Inventarisatie[Freq. Ma-Vr],$C273,Inventarisatie[Categorie],E$2)</f>
        <v>0</v>
      </c>
      <c r="F273" s="192">
        <f ca="1">SUMIFS(Inventarisatie[Oppervlakte],Inventarisatie[Locatie],$BC273,Inventarisatie[Freq. Ma-Vr],$C273,Inventarisatie[Categorie],F$2)</f>
        <v>0</v>
      </c>
      <c r="G273" s="192">
        <f ca="1">SUMIFS(Inventarisatie[Oppervlakte],Inventarisatie[Locatie],$BC273,Inventarisatie[Freq. Ma-Vr],$C273,Inventarisatie[Categorie],G$2)</f>
        <v>0</v>
      </c>
      <c r="H273" s="192">
        <f ca="1">SUMIFS(Inventarisatie[Oppervlakte],Inventarisatie[Locatie],$BC273,Inventarisatie[Freq. Ma-Vr],$C273,Inventarisatie[Categorie],H$2)</f>
        <v>0</v>
      </c>
      <c r="I273" s="472">
        <f ca="1">SUMIFS(Inventarisatie[Oppervlakte],Inventarisatie[Locatie],$BC273,Inventarisatie[Freq. Ma-Vr],$C273,Inventarisatie[Categorie],I$2)</f>
        <v>0</v>
      </c>
      <c r="J273" s="472">
        <f ca="1">SUMIFS(Inventarisatie[Oppervlakte],Inventarisatie[Locatie],$BC273,Inventarisatie[Freq. Ma-Vr],$C273,Inventarisatie[Categorie],J$2)</f>
        <v>0</v>
      </c>
      <c r="K273" s="528">
        <f ca="1">SUM(D273:J278)</f>
        <v>0</v>
      </c>
      <c r="L273" s="316" t="b">
        <f>IF(_xlfn.XLOOKUP(BC273,Tabel2[Locatiecode],Tabel2[Type locatie],"",0)="vaccin",TRUE,FALSE)</f>
        <v>0</v>
      </c>
      <c r="BD273" s="9" t="str">
        <f t="shared" ca="1" si="4"/>
        <v/>
      </c>
    </row>
    <row r="274" spans="1:56" ht="0.2" customHeight="1" x14ac:dyDescent="0.2">
      <c r="A274" s="172" cm="1">
        <f t="array" aca="1" ref="A274" ca="1">_xlfn.IFS(SUM(D274:J274)&gt;0,1,OFFSET($K274,-MOD(BB274+4,5),0)=0,2,TRUE,0)</f>
        <v>2</v>
      </c>
      <c r="B274" s="527"/>
      <c r="C274" s="208">
        <v>204</v>
      </c>
      <c r="D274" s="194">
        <f ca="1">SUMIFS(Inventarisatie[Oppervlakte],Inventarisatie[Locatie],$BC274,Inventarisatie[Freq. Ma-Vr],$C274,Inventarisatie[Categorie],D$2)</f>
        <v>0</v>
      </c>
      <c r="E274" s="192">
        <f ca="1">SUMIFS(Inventarisatie[Oppervlakte],Inventarisatie[Locatie],$BC274,Inventarisatie[Freq. Ma-Vr],$C274,Inventarisatie[Categorie],E$2)</f>
        <v>0</v>
      </c>
      <c r="F274" s="192">
        <f ca="1">SUMIFS(Inventarisatie[Oppervlakte],Inventarisatie[Locatie],$BC274,Inventarisatie[Freq. Ma-Vr],$C274,Inventarisatie[Categorie],F$2)</f>
        <v>0</v>
      </c>
      <c r="G274" s="192">
        <f ca="1">SUMIFS(Inventarisatie[Oppervlakte],Inventarisatie[Locatie],$BC274,Inventarisatie[Freq. Ma-Vr],$C274,Inventarisatie[Categorie],G$2)</f>
        <v>0</v>
      </c>
      <c r="H274" s="192">
        <f ca="1">SUMIFS(Inventarisatie[Oppervlakte],Inventarisatie[Locatie],$BC274,Inventarisatie[Freq. Ma-Vr],$C274,Inventarisatie[Categorie],H$2)</f>
        <v>0</v>
      </c>
      <c r="I274" s="472">
        <f ca="1">SUMIFS(Inventarisatie[Oppervlakte],Inventarisatie[Locatie],$BC274,Inventarisatie[Freq. Ma-Vr],$C274,Inventarisatie[Categorie],I$2)</f>
        <v>0</v>
      </c>
      <c r="J274" s="472">
        <f ca="1">SUMIFS(Inventarisatie[Oppervlakte],Inventarisatie[Locatie],$BC274,Inventarisatie[Freq. Ma-Vr],$C274,Inventarisatie[Categorie],J$2)</f>
        <v>0</v>
      </c>
      <c r="K274" s="528"/>
      <c r="L274" s="316" t="b">
        <f>IF(_xlfn.XLOOKUP(BC274,Tabel2[Locatiecode],Tabel2[Type locatie],"",0)="vaccin",TRUE,FALSE)</f>
        <v>0</v>
      </c>
      <c r="BD274" s="9" t="str">
        <f t="shared" ca="1" si="4"/>
        <v/>
      </c>
    </row>
    <row r="275" spans="1:56" ht="0.2" customHeight="1" x14ac:dyDescent="0.2">
      <c r="A275" s="172" cm="1">
        <f t="array" aca="1" ref="A275" ca="1">_xlfn.IFS(SUM(D275:J275)&gt;0,1,OFFSET($K275,-MOD(BB275+4,5),0)=0,2,TRUE,0)</f>
        <v>2</v>
      </c>
      <c r="B275" s="527"/>
      <c r="C275" s="208">
        <v>156</v>
      </c>
      <c r="D275" s="194">
        <f ca="1">SUMIFS(Inventarisatie[Oppervlakte],Inventarisatie[Locatie],$BC275,Inventarisatie[Freq. Ma-Vr],$C275,Inventarisatie[Categorie],D$2)</f>
        <v>0</v>
      </c>
      <c r="E275" s="192">
        <f ca="1">SUMIFS(Inventarisatie[Oppervlakte],Inventarisatie[Locatie],$BC275,Inventarisatie[Freq. Ma-Vr],$C275,Inventarisatie[Categorie],E$2)</f>
        <v>0</v>
      </c>
      <c r="F275" s="192">
        <f ca="1">SUMIFS(Inventarisatie[Oppervlakte],Inventarisatie[Locatie],$BC275,Inventarisatie[Freq. Ma-Vr],$C275,Inventarisatie[Categorie],F$2)</f>
        <v>0</v>
      </c>
      <c r="G275" s="192">
        <f ca="1">SUMIFS(Inventarisatie[Oppervlakte],Inventarisatie[Locatie],$BC275,Inventarisatie[Freq. Ma-Vr],$C275,Inventarisatie[Categorie],G$2)</f>
        <v>0</v>
      </c>
      <c r="H275" s="192">
        <f ca="1">SUMIFS(Inventarisatie[Oppervlakte],Inventarisatie[Locatie],$BC275,Inventarisatie[Freq. Ma-Vr],$C275,Inventarisatie[Categorie],H$2)</f>
        <v>0</v>
      </c>
      <c r="I275" s="472">
        <f ca="1">SUMIFS(Inventarisatie[Oppervlakte],Inventarisatie[Locatie],$BC275,Inventarisatie[Freq. Ma-Vr],$C275,Inventarisatie[Categorie],I$2)</f>
        <v>0</v>
      </c>
      <c r="J275" s="472">
        <f ca="1">SUMIFS(Inventarisatie[Oppervlakte],Inventarisatie[Locatie],$BC275,Inventarisatie[Freq. Ma-Vr],$C275,Inventarisatie[Categorie],J$2)</f>
        <v>0</v>
      </c>
      <c r="K275" s="529"/>
      <c r="L275" s="316" t="b">
        <f>IF(_xlfn.XLOOKUP(BC275,Tabel2[Locatiecode],Tabel2[Type locatie],"",0)="vaccin",TRUE,FALSE)</f>
        <v>0</v>
      </c>
      <c r="BD275" s="9" t="str">
        <f t="shared" ca="1" si="4"/>
        <v/>
      </c>
    </row>
    <row r="276" spans="1:56" ht="0.2" customHeight="1" x14ac:dyDescent="0.2">
      <c r="A276" s="172" cm="1">
        <f t="array" aca="1" ref="A276" ca="1">_xlfn.IFS(SUM(D276:J276)&gt;0,1,OFFSET($K276,-MOD(BB276+4,5),0)=0,2,TRUE,0)</f>
        <v>2</v>
      </c>
      <c r="B276" s="527"/>
      <c r="C276" s="208">
        <v>104</v>
      </c>
      <c r="D276" s="194">
        <f ca="1">SUMIFS(Inventarisatie[Oppervlakte],Inventarisatie[Locatie],$BC276,Inventarisatie[Freq. Ma-Vr],$C276,Inventarisatie[Categorie],D$2)</f>
        <v>0</v>
      </c>
      <c r="E276" s="192">
        <f ca="1">SUMIFS(Inventarisatie[Oppervlakte],Inventarisatie[Locatie],$BC276,Inventarisatie[Freq. Ma-Vr],$C276,Inventarisatie[Categorie],E$2)</f>
        <v>0</v>
      </c>
      <c r="F276" s="192">
        <f ca="1">SUMIFS(Inventarisatie[Oppervlakte],Inventarisatie[Locatie],$BC276,Inventarisatie[Freq. Ma-Vr],$C276,Inventarisatie[Categorie],F$2)</f>
        <v>0</v>
      </c>
      <c r="G276" s="192">
        <f ca="1">SUMIFS(Inventarisatie[Oppervlakte],Inventarisatie[Locatie],$BC276,Inventarisatie[Freq. Ma-Vr],$C276,Inventarisatie[Categorie],G$2)</f>
        <v>0</v>
      </c>
      <c r="H276" s="192">
        <f ca="1">SUMIFS(Inventarisatie[Oppervlakte],Inventarisatie[Locatie],$BC276,Inventarisatie[Freq. Ma-Vr],$C276,Inventarisatie[Categorie],H$2)</f>
        <v>0</v>
      </c>
      <c r="I276" s="472">
        <f ca="1">SUMIFS(Inventarisatie[Oppervlakte],Inventarisatie[Locatie],$BC276,Inventarisatie[Freq. Ma-Vr],$C276,Inventarisatie[Categorie],I$2)</f>
        <v>0</v>
      </c>
      <c r="J276" s="472">
        <f ca="1">SUMIFS(Inventarisatie[Oppervlakte],Inventarisatie[Locatie],$BC276,Inventarisatie[Freq. Ma-Vr],$C276,Inventarisatie[Categorie],J$2)</f>
        <v>0</v>
      </c>
      <c r="K276" s="529"/>
      <c r="L276" s="316" t="b">
        <f>IF(_xlfn.XLOOKUP(BC276,Tabel2[Locatiecode],Tabel2[Type locatie],"",0)="vaccin",TRUE,FALSE)</f>
        <v>0</v>
      </c>
      <c r="BD276" s="9" t="str">
        <f t="shared" ca="1" si="4"/>
        <v/>
      </c>
    </row>
    <row r="277" spans="1:56" ht="0.2" customHeight="1" x14ac:dyDescent="0.2">
      <c r="A277" s="172" cm="1">
        <f t="array" aca="1" ref="A277" ca="1">_xlfn.IFS(SUM(D277:J277)&gt;0,1,OFFSET($K277,-MOD(BB277+4,5),0)=0,2,TRUE,0)</f>
        <v>2</v>
      </c>
      <c r="B277" s="527"/>
      <c r="C277" s="208">
        <v>52</v>
      </c>
      <c r="D277" s="194">
        <f ca="1">SUMIFS(Inventarisatie[Oppervlakte],Inventarisatie[Locatie],$BC277,Inventarisatie[Freq. Ma-Vr],$C277,Inventarisatie[Categorie],D$2)</f>
        <v>0</v>
      </c>
      <c r="E277" s="192">
        <f ca="1">SUMIFS(Inventarisatie[Oppervlakte],Inventarisatie[Locatie],$BC277,Inventarisatie[Freq. Ma-Vr],$C277,Inventarisatie[Categorie],E$2)</f>
        <v>0</v>
      </c>
      <c r="F277" s="192">
        <f ca="1">SUMIFS(Inventarisatie[Oppervlakte],Inventarisatie[Locatie],$BC277,Inventarisatie[Freq. Ma-Vr],$C277,Inventarisatie[Categorie],F$2)</f>
        <v>0</v>
      </c>
      <c r="G277" s="192">
        <f ca="1">SUMIFS(Inventarisatie[Oppervlakte],Inventarisatie[Locatie],$BC277,Inventarisatie[Freq. Ma-Vr],$C277,Inventarisatie[Categorie],G$2)</f>
        <v>0</v>
      </c>
      <c r="H277" s="192">
        <f ca="1">SUMIFS(Inventarisatie[Oppervlakte],Inventarisatie[Locatie],$BC277,Inventarisatie[Freq. Ma-Vr],$C277,Inventarisatie[Categorie],H$2)</f>
        <v>0</v>
      </c>
      <c r="I277" s="472">
        <f ca="1">SUMIFS(Inventarisatie[Oppervlakte],Inventarisatie[Locatie],$BC277,Inventarisatie[Freq. Ma-Vr],$C277,Inventarisatie[Categorie],I$2)</f>
        <v>0</v>
      </c>
      <c r="J277" s="472">
        <f ca="1">SUMIFS(Inventarisatie[Oppervlakte],Inventarisatie[Locatie],$BC277,Inventarisatie[Freq. Ma-Vr],$C277,Inventarisatie[Categorie],J$2)</f>
        <v>0</v>
      </c>
      <c r="K277" s="529"/>
      <c r="L277" s="316" t="b">
        <f>IF(_xlfn.XLOOKUP(BC277,Tabel2[Locatiecode],Tabel2[Type locatie],"",0)="vaccin",TRUE,FALSE)</f>
        <v>0</v>
      </c>
      <c r="BD277" s="9" t="str">
        <f t="shared" ca="1" si="4"/>
        <v/>
      </c>
    </row>
    <row r="278" spans="1:56" ht="0.2" customHeight="1" x14ac:dyDescent="0.2">
      <c r="A278" s="172" cm="1">
        <f t="array" aca="1" ref="A278" ca="1">_xlfn.IFS(SUM(D278:J278)&gt;0,1,OFFSET($K278,-MOD(BB278+4,5),0)=0,2,TRUE,0)</f>
        <v>2</v>
      </c>
      <c r="B278" s="527"/>
      <c r="C278" s="208">
        <v>4</v>
      </c>
      <c r="D278" s="194">
        <f ca="1">SUMIFS(Inventarisatie[Oppervlakte],Inventarisatie[Locatie],$BC278,Inventarisatie[Freq. Ma-Vr],$C278,Inventarisatie[Categorie],D$2)</f>
        <v>0</v>
      </c>
      <c r="E278" s="192">
        <f ca="1">SUMIFS(Inventarisatie[Oppervlakte],Inventarisatie[Locatie],$BC278,Inventarisatie[Freq. Ma-Vr],$C278,Inventarisatie[Categorie],E$2)</f>
        <v>0</v>
      </c>
      <c r="F278" s="192">
        <f ca="1">SUMIFS(Inventarisatie[Oppervlakte],Inventarisatie[Locatie],$BC278,Inventarisatie[Freq. Ma-Vr],$C278,Inventarisatie[Categorie],F$2)</f>
        <v>0</v>
      </c>
      <c r="G278" s="192">
        <f ca="1">SUMIFS(Inventarisatie[Oppervlakte],Inventarisatie[Locatie],$BC278,Inventarisatie[Freq. Ma-Vr],$C278,Inventarisatie[Categorie],G$2)</f>
        <v>0</v>
      </c>
      <c r="H278" s="192">
        <f ca="1">SUMIFS(Inventarisatie[Oppervlakte],Inventarisatie[Locatie],$BC278,Inventarisatie[Freq. Ma-Vr],$C278,Inventarisatie[Categorie],H$2)</f>
        <v>0</v>
      </c>
      <c r="I278" s="472">
        <f ca="1">SUMIFS(Inventarisatie[Oppervlakte],Inventarisatie[Locatie],$BC278,Inventarisatie[Freq. Ma-Vr],$C278,Inventarisatie[Categorie],I$2)</f>
        <v>0</v>
      </c>
      <c r="J278" s="472">
        <f ca="1">SUMIFS(Inventarisatie[Oppervlakte],Inventarisatie[Locatie],$BC278,Inventarisatie[Freq. Ma-Vr],$C278,Inventarisatie[Categorie],J$2)</f>
        <v>0</v>
      </c>
      <c r="K278" s="529"/>
      <c r="L278" s="316" t="b">
        <f>IF(_xlfn.XLOOKUP(BC278,Tabel2[Locatiecode],Tabel2[Type locatie],"",0)="vaccin",TRUE,FALSE)</f>
        <v>0</v>
      </c>
      <c r="BD278" s="9" t="str">
        <f t="shared" ca="1" si="4"/>
        <v/>
      </c>
    </row>
    <row r="279" spans="1:56" ht="0.2" customHeight="1" x14ac:dyDescent="0.2">
      <c r="A279" s="172" cm="1">
        <f t="array" aca="1" ref="A279" ca="1">_xlfn.IFS(SUM(D279:J279)&gt;0,1,OFFSET($K279,-MOD(BB279+4,5),0)=0,2,TRUE,0)</f>
        <v>2</v>
      </c>
      <c r="B279" s="527">
        <f>BC279</f>
        <v>0</v>
      </c>
      <c r="C279" s="208">
        <v>255</v>
      </c>
      <c r="D279" s="194">
        <f ca="1">SUMIFS(Inventarisatie[Oppervlakte],Inventarisatie[Locatie],$BC279,Inventarisatie[Freq. Ma-Vr],$C279,Inventarisatie[Categorie],D$2)</f>
        <v>0</v>
      </c>
      <c r="E279" s="192">
        <f ca="1">SUMIFS(Inventarisatie[Oppervlakte],Inventarisatie[Locatie],$BC279,Inventarisatie[Freq. Ma-Vr],$C279,Inventarisatie[Categorie],E$2)</f>
        <v>0</v>
      </c>
      <c r="F279" s="192">
        <f ca="1">SUMIFS(Inventarisatie[Oppervlakte],Inventarisatie[Locatie],$BC279,Inventarisatie[Freq. Ma-Vr],$C279,Inventarisatie[Categorie],F$2)</f>
        <v>0</v>
      </c>
      <c r="G279" s="192">
        <f ca="1">SUMIFS(Inventarisatie[Oppervlakte],Inventarisatie[Locatie],$BC279,Inventarisatie[Freq. Ma-Vr],$C279,Inventarisatie[Categorie],G$2)</f>
        <v>0</v>
      </c>
      <c r="H279" s="192">
        <f ca="1">SUMIFS(Inventarisatie[Oppervlakte],Inventarisatie[Locatie],$BC279,Inventarisatie[Freq. Ma-Vr],$C279,Inventarisatie[Categorie],H$2)</f>
        <v>0</v>
      </c>
      <c r="I279" s="472">
        <f ca="1">SUMIFS(Inventarisatie[Oppervlakte],Inventarisatie[Locatie],$BC279,Inventarisatie[Freq. Ma-Vr],$C279,Inventarisatie[Categorie],I$2)</f>
        <v>0</v>
      </c>
      <c r="J279" s="472">
        <f ca="1">SUMIFS(Inventarisatie[Oppervlakte],Inventarisatie[Locatie],$BC279,Inventarisatie[Freq. Ma-Vr],$C279,Inventarisatie[Categorie],J$2)</f>
        <v>0</v>
      </c>
      <c r="K279" s="528">
        <f ca="1">SUM(D279:J284)</f>
        <v>0</v>
      </c>
      <c r="L279" s="316" t="b">
        <f>IF(_xlfn.XLOOKUP(BC279,Tabel2[Locatiecode],Tabel2[Type locatie],"",0)="vaccin",TRUE,FALSE)</f>
        <v>0</v>
      </c>
      <c r="BD279" s="9" t="str">
        <f t="shared" ca="1" si="4"/>
        <v/>
      </c>
    </row>
    <row r="280" spans="1:56" ht="0.2" customHeight="1" x14ac:dyDescent="0.2">
      <c r="A280" s="172" cm="1">
        <f t="array" aca="1" ref="A280" ca="1">_xlfn.IFS(SUM(D280:J280)&gt;0,1,OFFSET($K280,-MOD(BB280+4,5),0)=0,2,TRUE,0)</f>
        <v>2</v>
      </c>
      <c r="B280" s="527"/>
      <c r="C280" s="208">
        <v>204</v>
      </c>
      <c r="D280" s="194">
        <f ca="1">SUMIFS(Inventarisatie[Oppervlakte],Inventarisatie[Locatie],$BC280,Inventarisatie[Freq. Ma-Vr],$C280,Inventarisatie[Categorie],D$2)</f>
        <v>0</v>
      </c>
      <c r="E280" s="192">
        <f ca="1">SUMIFS(Inventarisatie[Oppervlakte],Inventarisatie[Locatie],$BC280,Inventarisatie[Freq. Ma-Vr],$C280,Inventarisatie[Categorie],E$2)</f>
        <v>0</v>
      </c>
      <c r="F280" s="192">
        <f ca="1">SUMIFS(Inventarisatie[Oppervlakte],Inventarisatie[Locatie],$BC280,Inventarisatie[Freq. Ma-Vr],$C280,Inventarisatie[Categorie],F$2)</f>
        <v>0</v>
      </c>
      <c r="G280" s="192">
        <f ca="1">SUMIFS(Inventarisatie[Oppervlakte],Inventarisatie[Locatie],$BC280,Inventarisatie[Freq. Ma-Vr],$C280,Inventarisatie[Categorie],G$2)</f>
        <v>0</v>
      </c>
      <c r="H280" s="192">
        <f ca="1">SUMIFS(Inventarisatie[Oppervlakte],Inventarisatie[Locatie],$BC280,Inventarisatie[Freq. Ma-Vr],$C280,Inventarisatie[Categorie],H$2)</f>
        <v>0</v>
      </c>
      <c r="I280" s="472">
        <f ca="1">SUMIFS(Inventarisatie[Oppervlakte],Inventarisatie[Locatie],$BC280,Inventarisatie[Freq. Ma-Vr],$C280,Inventarisatie[Categorie],I$2)</f>
        <v>0</v>
      </c>
      <c r="J280" s="472">
        <f ca="1">SUMIFS(Inventarisatie[Oppervlakte],Inventarisatie[Locatie],$BC280,Inventarisatie[Freq. Ma-Vr],$C280,Inventarisatie[Categorie],J$2)</f>
        <v>0</v>
      </c>
      <c r="K280" s="528"/>
      <c r="L280" s="316" t="b">
        <f>IF(_xlfn.XLOOKUP(BC280,Tabel2[Locatiecode],Tabel2[Type locatie],"",0)="vaccin",TRUE,FALSE)</f>
        <v>0</v>
      </c>
      <c r="BD280" s="9" t="str">
        <f t="shared" ca="1" si="4"/>
        <v/>
      </c>
    </row>
    <row r="281" spans="1:56" ht="0.2" customHeight="1" x14ac:dyDescent="0.2">
      <c r="A281" s="172" cm="1">
        <f t="array" aca="1" ref="A281" ca="1">_xlfn.IFS(SUM(D281:J281)&gt;0,1,OFFSET($K281,-MOD(BB281+4,5),0)=0,2,TRUE,0)</f>
        <v>2</v>
      </c>
      <c r="B281" s="527"/>
      <c r="C281" s="208">
        <v>156</v>
      </c>
      <c r="D281" s="194">
        <f ca="1">SUMIFS(Inventarisatie[Oppervlakte],Inventarisatie[Locatie],$BC281,Inventarisatie[Freq. Ma-Vr],$C281,Inventarisatie[Categorie],D$2)</f>
        <v>0</v>
      </c>
      <c r="E281" s="192">
        <f ca="1">SUMIFS(Inventarisatie[Oppervlakte],Inventarisatie[Locatie],$BC281,Inventarisatie[Freq. Ma-Vr],$C281,Inventarisatie[Categorie],E$2)</f>
        <v>0</v>
      </c>
      <c r="F281" s="192">
        <f ca="1">SUMIFS(Inventarisatie[Oppervlakte],Inventarisatie[Locatie],$BC281,Inventarisatie[Freq. Ma-Vr],$C281,Inventarisatie[Categorie],F$2)</f>
        <v>0</v>
      </c>
      <c r="G281" s="192">
        <f ca="1">SUMIFS(Inventarisatie[Oppervlakte],Inventarisatie[Locatie],$BC281,Inventarisatie[Freq. Ma-Vr],$C281,Inventarisatie[Categorie],G$2)</f>
        <v>0</v>
      </c>
      <c r="H281" s="192">
        <f ca="1">SUMIFS(Inventarisatie[Oppervlakte],Inventarisatie[Locatie],$BC281,Inventarisatie[Freq. Ma-Vr],$C281,Inventarisatie[Categorie],H$2)</f>
        <v>0</v>
      </c>
      <c r="I281" s="472">
        <f ca="1">SUMIFS(Inventarisatie[Oppervlakte],Inventarisatie[Locatie],$BC281,Inventarisatie[Freq. Ma-Vr],$C281,Inventarisatie[Categorie],I$2)</f>
        <v>0</v>
      </c>
      <c r="J281" s="472">
        <f ca="1">SUMIFS(Inventarisatie[Oppervlakte],Inventarisatie[Locatie],$BC281,Inventarisatie[Freq. Ma-Vr],$C281,Inventarisatie[Categorie],J$2)</f>
        <v>0</v>
      </c>
      <c r="K281" s="529"/>
      <c r="L281" s="316" t="b">
        <f>IF(_xlfn.XLOOKUP(BC281,Tabel2[Locatiecode],Tabel2[Type locatie],"",0)="vaccin",TRUE,FALSE)</f>
        <v>0</v>
      </c>
      <c r="BD281" s="9" t="str">
        <f t="shared" ca="1" si="4"/>
        <v/>
      </c>
    </row>
    <row r="282" spans="1:56" ht="0.2" customHeight="1" x14ac:dyDescent="0.2">
      <c r="A282" s="172" cm="1">
        <f t="array" aca="1" ref="A282" ca="1">_xlfn.IFS(SUM(D282:J282)&gt;0,1,OFFSET($K282,-MOD(BB282+4,5),0)=0,2,TRUE,0)</f>
        <v>2</v>
      </c>
      <c r="B282" s="527"/>
      <c r="C282" s="208">
        <v>104</v>
      </c>
      <c r="D282" s="194">
        <f ca="1">SUMIFS(Inventarisatie[Oppervlakte],Inventarisatie[Locatie],$BC282,Inventarisatie[Freq. Ma-Vr],$C282,Inventarisatie[Categorie],D$2)</f>
        <v>0</v>
      </c>
      <c r="E282" s="192">
        <f ca="1">SUMIFS(Inventarisatie[Oppervlakte],Inventarisatie[Locatie],$BC282,Inventarisatie[Freq. Ma-Vr],$C282,Inventarisatie[Categorie],E$2)</f>
        <v>0</v>
      </c>
      <c r="F282" s="192">
        <f ca="1">SUMIFS(Inventarisatie[Oppervlakte],Inventarisatie[Locatie],$BC282,Inventarisatie[Freq. Ma-Vr],$C282,Inventarisatie[Categorie],F$2)</f>
        <v>0</v>
      </c>
      <c r="G282" s="192">
        <f ca="1">SUMIFS(Inventarisatie[Oppervlakte],Inventarisatie[Locatie],$BC282,Inventarisatie[Freq. Ma-Vr],$C282,Inventarisatie[Categorie],G$2)</f>
        <v>0</v>
      </c>
      <c r="H282" s="192">
        <f ca="1">SUMIFS(Inventarisatie[Oppervlakte],Inventarisatie[Locatie],$BC282,Inventarisatie[Freq. Ma-Vr],$C282,Inventarisatie[Categorie],H$2)</f>
        <v>0</v>
      </c>
      <c r="I282" s="472">
        <f ca="1">SUMIFS(Inventarisatie[Oppervlakte],Inventarisatie[Locatie],$BC282,Inventarisatie[Freq. Ma-Vr],$C282,Inventarisatie[Categorie],I$2)</f>
        <v>0</v>
      </c>
      <c r="J282" s="472">
        <f ca="1">SUMIFS(Inventarisatie[Oppervlakte],Inventarisatie[Locatie],$BC282,Inventarisatie[Freq. Ma-Vr],$C282,Inventarisatie[Categorie],J$2)</f>
        <v>0</v>
      </c>
      <c r="K282" s="529"/>
      <c r="L282" s="316" t="b">
        <f>IF(_xlfn.XLOOKUP(BC282,Tabel2[Locatiecode],Tabel2[Type locatie],"",0)="vaccin",TRUE,FALSE)</f>
        <v>0</v>
      </c>
      <c r="BD282" s="9" t="str">
        <f t="shared" ca="1" si="4"/>
        <v/>
      </c>
    </row>
    <row r="283" spans="1:56" ht="0.2" customHeight="1" x14ac:dyDescent="0.2">
      <c r="A283" s="172" cm="1">
        <f t="array" aca="1" ref="A283" ca="1">_xlfn.IFS(SUM(D283:J283)&gt;0,1,OFFSET($K283,-MOD(BB283+4,5),0)=0,2,TRUE,0)</f>
        <v>2</v>
      </c>
      <c r="B283" s="527"/>
      <c r="C283" s="208">
        <v>52</v>
      </c>
      <c r="D283" s="194">
        <f ca="1">SUMIFS(Inventarisatie[Oppervlakte],Inventarisatie[Locatie],$BC283,Inventarisatie[Freq. Ma-Vr],$C283,Inventarisatie[Categorie],D$2)</f>
        <v>0</v>
      </c>
      <c r="E283" s="192">
        <f ca="1">SUMIFS(Inventarisatie[Oppervlakte],Inventarisatie[Locatie],$BC283,Inventarisatie[Freq. Ma-Vr],$C283,Inventarisatie[Categorie],E$2)</f>
        <v>0</v>
      </c>
      <c r="F283" s="192">
        <f ca="1">SUMIFS(Inventarisatie[Oppervlakte],Inventarisatie[Locatie],$BC283,Inventarisatie[Freq. Ma-Vr],$C283,Inventarisatie[Categorie],F$2)</f>
        <v>0</v>
      </c>
      <c r="G283" s="192">
        <f ca="1">SUMIFS(Inventarisatie[Oppervlakte],Inventarisatie[Locatie],$BC283,Inventarisatie[Freq. Ma-Vr],$C283,Inventarisatie[Categorie],G$2)</f>
        <v>0</v>
      </c>
      <c r="H283" s="192">
        <f ca="1">SUMIFS(Inventarisatie[Oppervlakte],Inventarisatie[Locatie],$BC283,Inventarisatie[Freq. Ma-Vr],$C283,Inventarisatie[Categorie],H$2)</f>
        <v>0</v>
      </c>
      <c r="I283" s="472">
        <f ca="1">SUMIFS(Inventarisatie[Oppervlakte],Inventarisatie[Locatie],$BC283,Inventarisatie[Freq. Ma-Vr],$C283,Inventarisatie[Categorie],I$2)</f>
        <v>0</v>
      </c>
      <c r="J283" s="472">
        <f ca="1">SUMIFS(Inventarisatie[Oppervlakte],Inventarisatie[Locatie],$BC283,Inventarisatie[Freq. Ma-Vr],$C283,Inventarisatie[Categorie],J$2)</f>
        <v>0</v>
      </c>
      <c r="K283" s="529"/>
      <c r="L283" s="316" t="b">
        <f>IF(_xlfn.XLOOKUP(BC283,Tabel2[Locatiecode],Tabel2[Type locatie],"",0)="vaccin",TRUE,FALSE)</f>
        <v>0</v>
      </c>
      <c r="BD283" s="9" t="str">
        <f t="shared" ca="1" si="4"/>
        <v/>
      </c>
    </row>
    <row r="284" spans="1:56" ht="0.2" customHeight="1" x14ac:dyDescent="0.2">
      <c r="A284" s="172" cm="1">
        <f t="array" aca="1" ref="A284" ca="1">_xlfn.IFS(SUM(D284:J284)&gt;0,1,OFFSET($K284,-MOD(BB284+4,5),0)=0,2,TRUE,0)</f>
        <v>2</v>
      </c>
      <c r="B284" s="527"/>
      <c r="C284" s="208">
        <v>4</v>
      </c>
      <c r="D284" s="194">
        <f ca="1">SUMIFS(Inventarisatie[Oppervlakte],Inventarisatie[Locatie],$BC284,Inventarisatie[Freq. Ma-Vr],$C284,Inventarisatie[Categorie],D$2)</f>
        <v>0</v>
      </c>
      <c r="E284" s="192">
        <f ca="1">SUMIFS(Inventarisatie[Oppervlakte],Inventarisatie[Locatie],$BC284,Inventarisatie[Freq. Ma-Vr],$C284,Inventarisatie[Categorie],E$2)</f>
        <v>0</v>
      </c>
      <c r="F284" s="192">
        <f ca="1">SUMIFS(Inventarisatie[Oppervlakte],Inventarisatie[Locatie],$BC284,Inventarisatie[Freq. Ma-Vr],$C284,Inventarisatie[Categorie],F$2)</f>
        <v>0</v>
      </c>
      <c r="G284" s="192">
        <f ca="1">SUMIFS(Inventarisatie[Oppervlakte],Inventarisatie[Locatie],$BC284,Inventarisatie[Freq. Ma-Vr],$C284,Inventarisatie[Categorie],G$2)</f>
        <v>0</v>
      </c>
      <c r="H284" s="192">
        <f ca="1">SUMIFS(Inventarisatie[Oppervlakte],Inventarisatie[Locatie],$BC284,Inventarisatie[Freq. Ma-Vr],$C284,Inventarisatie[Categorie],H$2)</f>
        <v>0</v>
      </c>
      <c r="I284" s="472">
        <f ca="1">SUMIFS(Inventarisatie[Oppervlakte],Inventarisatie[Locatie],$BC284,Inventarisatie[Freq. Ma-Vr],$C284,Inventarisatie[Categorie],I$2)</f>
        <v>0</v>
      </c>
      <c r="J284" s="472">
        <f ca="1">SUMIFS(Inventarisatie[Oppervlakte],Inventarisatie[Locatie],$BC284,Inventarisatie[Freq. Ma-Vr],$C284,Inventarisatie[Categorie],J$2)</f>
        <v>0</v>
      </c>
      <c r="K284" s="529"/>
      <c r="L284" s="316" t="b">
        <f>IF(_xlfn.XLOOKUP(BC284,Tabel2[Locatiecode],Tabel2[Type locatie],"",0)="vaccin",TRUE,FALSE)</f>
        <v>0</v>
      </c>
      <c r="BD284" s="9" t="str">
        <f t="shared" ca="1" si="4"/>
        <v/>
      </c>
    </row>
    <row r="285" spans="1:56" ht="0.2" customHeight="1" x14ac:dyDescent="0.2">
      <c r="A285" s="172" cm="1">
        <f t="array" aca="1" ref="A285" ca="1">_xlfn.IFS(SUM(D285:J285)&gt;0,1,OFFSET($K285,-MOD(BB285+4,5),0)=0,2,TRUE,0)</f>
        <v>2</v>
      </c>
      <c r="B285" s="527">
        <f>BC285</f>
        <v>0</v>
      </c>
      <c r="C285" s="208">
        <v>255</v>
      </c>
      <c r="D285" s="194">
        <f ca="1">SUMIFS(Inventarisatie[Oppervlakte],Inventarisatie[Locatie],$BC285,Inventarisatie[Freq. Ma-Vr],$C285,Inventarisatie[Categorie],D$2)</f>
        <v>0</v>
      </c>
      <c r="E285" s="192">
        <f ca="1">SUMIFS(Inventarisatie[Oppervlakte],Inventarisatie[Locatie],$BC285,Inventarisatie[Freq. Ma-Vr],$C285,Inventarisatie[Categorie],E$2)</f>
        <v>0</v>
      </c>
      <c r="F285" s="192">
        <f ca="1">SUMIFS(Inventarisatie[Oppervlakte],Inventarisatie[Locatie],$BC285,Inventarisatie[Freq. Ma-Vr],$C285,Inventarisatie[Categorie],F$2)</f>
        <v>0</v>
      </c>
      <c r="G285" s="192">
        <f ca="1">SUMIFS(Inventarisatie[Oppervlakte],Inventarisatie[Locatie],$BC285,Inventarisatie[Freq. Ma-Vr],$C285,Inventarisatie[Categorie],G$2)</f>
        <v>0</v>
      </c>
      <c r="H285" s="192">
        <f ca="1">SUMIFS(Inventarisatie[Oppervlakte],Inventarisatie[Locatie],$BC285,Inventarisatie[Freq. Ma-Vr],$C285,Inventarisatie[Categorie],H$2)</f>
        <v>0</v>
      </c>
      <c r="I285" s="472">
        <f ca="1">SUMIFS(Inventarisatie[Oppervlakte],Inventarisatie[Locatie],$BC285,Inventarisatie[Freq. Ma-Vr],$C285,Inventarisatie[Categorie],I$2)</f>
        <v>0</v>
      </c>
      <c r="J285" s="472">
        <f ca="1">SUMIFS(Inventarisatie[Oppervlakte],Inventarisatie[Locatie],$BC285,Inventarisatie[Freq. Ma-Vr],$C285,Inventarisatie[Categorie],J$2)</f>
        <v>0</v>
      </c>
      <c r="K285" s="528">
        <f ca="1">SUM(D285:J290)</f>
        <v>0</v>
      </c>
      <c r="L285" s="316" t="b">
        <f>IF(_xlfn.XLOOKUP(BC285,Tabel2[Locatiecode],Tabel2[Type locatie],"",0)="vaccin",TRUE,FALSE)</f>
        <v>0</v>
      </c>
      <c r="BD285" s="9" t="str">
        <f t="shared" ca="1" si="4"/>
        <v/>
      </c>
    </row>
    <row r="286" spans="1:56" ht="0.2" customHeight="1" x14ac:dyDescent="0.2">
      <c r="A286" s="172" cm="1">
        <f t="array" aca="1" ref="A286" ca="1">_xlfn.IFS(SUM(D286:J286)&gt;0,1,OFFSET($K286,-MOD(BB286+4,5),0)=0,2,TRUE,0)</f>
        <v>2</v>
      </c>
      <c r="B286" s="527"/>
      <c r="C286" s="208">
        <v>204</v>
      </c>
      <c r="D286" s="194">
        <f ca="1">SUMIFS(Inventarisatie[Oppervlakte],Inventarisatie[Locatie],$BC286,Inventarisatie[Freq. Ma-Vr],$C286,Inventarisatie[Categorie],D$2)</f>
        <v>0</v>
      </c>
      <c r="E286" s="192">
        <f ca="1">SUMIFS(Inventarisatie[Oppervlakte],Inventarisatie[Locatie],$BC286,Inventarisatie[Freq. Ma-Vr],$C286,Inventarisatie[Categorie],E$2)</f>
        <v>0</v>
      </c>
      <c r="F286" s="192">
        <f ca="1">SUMIFS(Inventarisatie[Oppervlakte],Inventarisatie[Locatie],$BC286,Inventarisatie[Freq. Ma-Vr],$C286,Inventarisatie[Categorie],F$2)</f>
        <v>0</v>
      </c>
      <c r="G286" s="192">
        <f ca="1">SUMIFS(Inventarisatie[Oppervlakte],Inventarisatie[Locatie],$BC286,Inventarisatie[Freq. Ma-Vr],$C286,Inventarisatie[Categorie],G$2)</f>
        <v>0</v>
      </c>
      <c r="H286" s="192">
        <f ca="1">SUMIFS(Inventarisatie[Oppervlakte],Inventarisatie[Locatie],$BC286,Inventarisatie[Freq. Ma-Vr],$C286,Inventarisatie[Categorie],H$2)</f>
        <v>0</v>
      </c>
      <c r="I286" s="472">
        <f ca="1">SUMIFS(Inventarisatie[Oppervlakte],Inventarisatie[Locatie],$BC286,Inventarisatie[Freq. Ma-Vr],$C286,Inventarisatie[Categorie],I$2)</f>
        <v>0</v>
      </c>
      <c r="J286" s="472">
        <f ca="1">SUMIFS(Inventarisatie[Oppervlakte],Inventarisatie[Locatie],$BC286,Inventarisatie[Freq. Ma-Vr],$C286,Inventarisatie[Categorie],J$2)</f>
        <v>0</v>
      </c>
      <c r="K286" s="528"/>
      <c r="L286" s="316" t="b">
        <f>IF(_xlfn.XLOOKUP(BC286,Tabel2[Locatiecode],Tabel2[Type locatie],"",0)="vaccin",TRUE,FALSE)</f>
        <v>0</v>
      </c>
      <c r="BD286" s="9" t="str">
        <f t="shared" ca="1" si="4"/>
        <v/>
      </c>
    </row>
    <row r="287" spans="1:56" ht="0.2" customHeight="1" x14ac:dyDescent="0.2">
      <c r="A287" s="172" cm="1">
        <f t="array" aca="1" ref="A287" ca="1">_xlfn.IFS(SUM(D287:J287)&gt;0,1,OFFSET($K287,-MOD(BB287+4,5),0)=0,2,TRUE,0)</f>
        <v>2</v>
      </c>
      <c r="B287" s="527"/>
      <c r="C287" s="208">
        <v>156</v>
      </c>
      <c r="D287" s="194">
        <f ca="1">SUMIFS(Inventarisatie[Oppervlakte],Inventarisatie[Locatie],$BC287,Inventarisatie[Freq. Ma-Vr],$C287,Inventarisatie[Categorie],D$2)</f>
        <v>0</v>
      </c>
      <c r="E287" s="192">
        <f ca="1">SUMIFS(Inventarisatie[Oppervlakte],Inventarisatie[Locatie],$BC287,Inventarisatie[Freq. Ma-Vr],$C287,Inventarisatie[Categorie],E$2)</f>
        <v>0</v>
      </c>
      <c r="F287" s="192">
        <f ca="1">SUMIFS(Inventarisatie[Oppervlakte],Inventarisatie[Locatie],$BC287,Inventarisatie[Freq. Ma-Vr],$C287,Inventarisatie[Categorie],F$2)</f>
        <v>0</v>
      </c>
      <c r="G287" s="192">
        <f ca="1">SUMIFS(Inventarisatie[Oppervlakte],Inventarisatie[Locatie],$BC287,Inventarisatie[Freq. Ma-Vr],$C287,Inventarisatie[Categorie],G$2)</f>
        <v>0</v>
      </c>
      <c r="H287" s="192">
        <f ca="1">SUMIFS(Inventarisatie[Oppervlakte],Inventarisatie[Locatie],$BC287,Inventarisatie[Freq. Ma-Vr],$C287,Inventarisatie[Categorie],H$2)</f>
        <v>0</v>
      </c>
      <c r="I287" s="472">
        <f ca="1">SUMIFS(Inventarisatie[Oppervlakte],Inventarisatie[Locatie],$BC287,Inventarisatie[Freq. Ma-Vr],$C287,Inventarisatie[Categorie],I$2)</f>
        <v>0</v>
      </c>
      <c r="J287" s="472">
        <f ca="1">SUMIFS(Inventarisatie[Oppervlakte],Inventarisatie[Locatie],$BC287,Inventarisatie[Freq. Ma-Vr],$C287,Inventarisatie[Categorie],J$2)</f>
        <v>0</v>
      </c>
      <c r="K287" s="529"/>
      <c r="L287" s="316" t="b">
        <f>IF(_xlfn.XLOOKUP(BC287,Tabel2[Locatiecode],Tabel2[Type locatie],"",0)="vaccin",TRUE,FALSE)</f>
        <v>0</v>
      </c>
      <c r="BD287" s="9" t="str">
        <f t="shared" ca="1" si="4"/>
        <v/>
      </c>
    </row>
    <row r="288" spans="1:56" ht="0.2" customHeight="1" x14ac:dyDescent="0.2">
      <c r="A288" s="172" cm="1">
        <f t="array" aca="1" ref="A288" ca="1">_xlfn.IFS(SUM(D288:J288)&gt;0,1,OFFSET($K288,-MOD(BB288+4,5),0)=0,2,TRUE,0)</f>
        <v>2</v>
      </c>
      <c r="B288" s="527"/>
      <c r="C288" s="208">
        <v>104</v>
      </c>
      <c r="D288" s="194">
        <f ca="1">SUMIFS(Inventarisatie[Oppervlakte],Inventarisatie[Locatie],$BC288,Inventarisatie[Freq. Ma-Vr],$C288,Inventarisatie[Categorie],D$2)</f>
        <v>0</v>
      </c>
      <c r="E288" s="192">
        <f ca="1">SUMIFS(Inventarisatie[Oppervlakte],Inventarisatie[Locatie],$BC288,Inventarisatie[Freq. Ma-Vr],$C288,Inventarisatie[Categorie],E$2)</f>
        <v>0</v>
      </c>
      <c r="F288" s="192">
        <f ca="1">SUMIFS(Inventarisatie[Oppervlakte],Inventarisatie[Locatie],$BC288,Inventarisatie[Freq. Ma-Vr],$C288,Inventarisatie[Categorie],F$2)</f>
        <v>0</v>
      </c>
      <c r="G288" s="192">
        <f ca="1">SUMIFS(Inventarisatie[Oppervlakte],Inventarisatie[Locatie],$BC288,Inventarisatie[Freq. Ma-Vr],$C288,Inventarisatie[Categorie],G$2)</f>
        <v>0</v>
      </c>
      <c r="H288" s="192">
        <f ca="1">SUMIFS(Inventarisatie[Oppervlakte],Inventarisatie[Locatie],$BC288,Inventarisatie[Freq. Ma-Vr],$C288,Inventarisatie[Categorie],H$2)</f>
        <v>0</v>
      </c>
      <c r="I288" s="472">
        <f ca="1">SUMIFS(Inventarisatie[Oppervlakte],Inventarisatie[Locatie],$BC288,Inventarisatie[Freq. Ma-Vr],$C288,Inventarisatie[Categorie],I$2)</f>
        <v>0</v>
      </c>
      <c r="J288" s="472">
        <f ca="1">SUMIFS(Inventarisatie[Oppervlakte],Inventarisatie[Locatie],$BC288,Inventarisatie[Freq. Ma-Vr],$C288,Inventarisatie[Categorie],J$2)</f>
        <v>0</v>
      </c>
      <c r="K288" s="529"/>
      <c r="L288" s="316" t="b">
        <f>IF(_xlfn.XLOOKUP(BC288,Tabel2[Locatiecode],Tabel2[Type locatie],"",0)="vaccin",TRUE,FALSE)</f>
        <v>0</v>
      </c>
      <c r="BD288" s="9" t="str">
        <f t="shared" ca="1" si="4"/>
        <v/>
      </c>
    </row>
    <row r="289" spans="1:56" ht="0.2" customHeight="1" x14ac:dyDescent="0.2">
      <c r="A289" s="172" cm="1">
        <f t="array" aca="1" ref="A289" ca="1">_xlfn.IFS(SUM(D289:J289)&gt;0,1,OFFSET($K289,-MOD(BB289+4,5),0)=0,2,TRUE,0)</f>
        <v>2</v>
      </c>
      <c r="B289" s="527"/>
      <c r="C289" s="208">
        <v>52</v>
      </c>
      <c r="D289" s="194">
        <f ca="1">SUMIFS(Inventarisatie[Oppervlakte],Inventarisatie[Locatie],$BC289,Inventarisatie[Freq. Ma-Vr],$C289,Inventarisatie[Categorie],D$2)</f>
        <v>0</v>
      </c>
      <c r="E289" s="192">
        <f ca="1">SUMIFS(Inventarisatie[Oppervlakte],Inventarisatie[Locatie],$BC289,Inventarisatie[Freq. Ma-Vr],$C289,Inventarisatie[Categorie],E$2)</f>
        <v>0</v>
      </c>
      <c r="F289" s="192">
        <f ca="1">SUMIFS(Inventarisatie[Oppervlakte],Inventarisatie[Locatie],$BC289,Inventarisatie[Freq. Ma-Vr],$C289,Inventarisatie[Categorie],F$2)</f>
        <v>0</v>
      </c>
      <c r="G289" s="192">
        <f ca="1">SUMIFS(Inventarisatie[Oppervlakte],Inventarisatie[Locatie],$BC289,Inventarisatie[Freq. Ma-Vr],$C289,Inventarisatie[Categorie],G$2)</f>
        <v>0</v>
      </c>
      <c r="H289" s="192">
        <f ca="1">SUMIFS(Inventarisatie[Oppervlakte],Inventarisatie[Locatie],$BC289,Inventarisatie[Freq. Ma-Vr],$C289,Inventarisatie[Categorie],H$2)</f>
        <v>0</v>
      </c>
      <c r="I289" s="472">
        <f ca="1">SUMIFS(Inventarisatie[Oppervlakte],Inventarisatie[Locatie],$BC289,Inventarisatie[Freq. Ma-Vr],$C289,Inventarisatie[Categorie],I$2)</f>
        <v>0</v>
      </c>
      <c r="J289" s="472">
        <f ca="1">SUMIFS(Inventarisatie[Oppervlakte],Inventarisatie[Locatie],$BC289,Inventarisatie[Freq. Ma-Vr],$C289,Inventarisatie[Categorie],J$2)</f>
        <v>0</v>
      </c>
      <c r="K289" s="529"/>
      <c r="L289" s="316" t="b">
        <f>IF(_xlfn.XLOOKUP(BC289,Tabel2[Locatiecode],Tabel2[Type locatie],"",0)="vaccin",TRUE,FALSE)</f>
        <v>0</v>
      </c>
      <c r="BD289" s="9" t="str">
        <f t="shared" ca="1" si="4"/>
        <v/>
      </c>
    </row>
    <row r="290" spans="1:56" ht="0.2" customHeight="1" x14ac:dyDescent="0.2">
      <c r="A290" s="172" cm="1">
        <f t="array" aca="1" ref="A290" ca="1">_xlfn.IFS(SUM(D290:J290)&gt;0,1,OFFSET($K290,-MOD(BB290+4,5),0)=0,2,TRUE,0)</f>
        <v>2</v>
      </c>
      <c r="B290" s="527"/>
      <c r="C290" s="208">
        <v>4</v>
      </c>
      <c r="D290" s="194">
        <f ca="1">SUMIFS(Inventarisatie[Oppervlakte],Inventarisatie[Locatie],$BC290,Inventarisatie[Freq. Ma-Vr],$C290,Inventarisatie[Categorie],D$2)</f>
        <v>0</v>
      </c>
      <c r="E290" s="192">
        <f ca="1">SUMIFS(Inventarisatie[Oppervlakte],Inventarisatie[Locatie],$BC290,Inventarisatie[Freq. Ma-Vr],$C290,Inventarisatie[Categorie],E$2)</f>
        <v>0</v>
      </c>
      <c r="F290" s="192">
        <f ca="1">SUMIFS(Inventarisatie[Oppervlakte],Inventarisatie[Locatie],$BC290,Inventarisatie[Freq. Ma-Vr],$C290,Inventarisatie[Categorie],F$2)</f>
        <v>0</v>
      </c>
      <c r="G290" s="192">
        <f ca="1">SUMIFS(Inventarisatie[Oppervlakte],Inventarisatie[Locatie],$BC290,Inventarisatie[Freq. Ma-Vr],$C290,Inventarisatie[Categorie],G$2)</f>
        <v>0</v>
      </c>
      <c r="H290" s="192">
        <f ca="1">SUMIFS(Inventarisatie[Oppervlakte],Inventarisatie[Locatie],$BC290,Inventarisatie[Freq. Ma-Vr],$C290,Inventarisatie[Categorie],H$2)</f>
        <v>0</v>
      </c>
      <c r="I290" s="472">
        <f ca="1">SUMIFS(Inventarisatie[Oppervlakte],Inventarisatie[Locatie],$BC290,Inventarisatie[Freq. Ma-Vr],$C290,Inventarisatie[Categorie],I$2)</f>
        <v>0</v>
      </c>
      <c r="J290" s="472">
        <f ca="1">SUMIFS(Inventarisatie[Oppervlakte],Inventarisatie[Locatie],$BC290,Inventarisatie[Freq. Ma-Vr],$C290,Inventarisatie[Categorie],J$2)</f>
        <v>0</v>
      </c>
      <c r="K290" s="529"/>
      <c r="L290" s="316" t="b">
        <f>IF(_xlfn.XLOOKUP(BC290,Tabel2[Locatiecode],Tabel2[Type locatie],"",0)="vaccin",TRUE,FALSE)</f>
        <v>0</v>
      </c>
      <c r="BD290" s="9" t="str">
        <f t="shared" ca="1" si="4"/>
        <v/>
      </c>
    </row>
    <row r="291" spans="1:56" ht="0.2" customHeight="1" x14ac:dyDescent="0.2">
      <c r="A291" s="172" cm="1">
        <f t="array" aca="1" ref="A291" ca="1">_xlfn.IFS(SUM(D291:J291)&gt;0,1,OFFSET($K291,-MOD(BB291+4,5),0)=0,2,TRUE,0)</f>
        <v>2</v>
      </c>
      <c r="B291" s="527">
        <f>BC291</f>
        <v>0</v>
      </c>
      <c r="C291" s="208">
        <v>255</v>
      </c>
      <c r="D291" s="194">
        <f ca="1">SUMIFS(Inventarisatie[Oppervlakte],Inventarisatie[Locatie],$BC291,Inventarisatie[Freq. Ma-Vr],$C291,Inventarisatie[Categorie],D$2)</f>
        <v>0</v>
      </c>
      <c r="E291" s="192">
        <f ca="1">SUMIFS(Inventarisatie[Oppervlakte],Inventarisatie[Locatie],$BC291,Inventarisatie[Freq. Ma-Vr],$C291,Inventarisatie[Categorie],E$2)</f>
        <v>0</v>
      </c>
      <c r="F291" s="192">
        <f ca="1">SUMIFS(Inventarisatie[Oppervlakte],Inventarisatie[Locatie],$BC291,Inventarisatie[Freq. Ma-Vr],$C291,Inventarisatie[Categorie],F$2)</f>
        <v>0</v>
      </c>
      <c r="G291" s="192">
        <f ca="1">SUMIFS(Inventarisatie[Oppervlakte],Inventarisatie[Locatie],$BC291,Inventarisatie[Freq. Ma-Vr],$C291,Inventarisatie[Categorie],G$2)</f>
        <v>0</v>
      </c>
      <c r="H291" s="192">
        <f ca="1">SUMIFS(Inventarisatie[Oppervlakte],Inventarisatie[Locatie],$BC291,Inventarisatie[Freq. Ma-Vr],$C291,Inventarisatie[Categorie],H$2)</f>
        <v>0</v>
      </c>
      <c r="I291" s="472">
        <f ca="1">SUMIFS(Inventarisatie[Oppervlakte],Inventarisatie[Locatie],$BC291,Inventarisatie[Freq. Ma-Vr],$C291,Inventarisatie[Categorie],I$2)</f>
        <v>0</v>
      </c>
      <c r="J291" s="472">
        <f ca="1">SUMIFS(Inventarisatie[Oppervlakte],Inventarisatie[Locatie],$BC291,Inventarisatie[Freq. Ma-Vr],$C291,Inventarisatie[Categorie],J$2)</f>
        <v>0</v>
      </c>
      <c r="K291" s="528">
        <f ca="1">SUM(D291:J296)</f>
        <v>0</v>
      </c>
      <c r="L291" s="316" t="b">
        <f>IF(_xlfn.XLOOKUP(BC291,Tabel2[Locatiecode],Tabel2[Type locatie],"",0)="vaccin",TRUE,FALSE)</f>
        <v>0</v>
      </c>
      <c r="BD291" s="9" t="str">
        <f t="shared" ca="1" si="4"/>
        <v/>
      </c>
    </row>
    <row r="292" spans="1:56" ht="0.2" customHeight="1" x14ac:dyDescent="0.2">
      <c r="A292" s="172" cm="1">
        <f t="array" aca="1" ref="A292" ca="1">_xlfn.IFS(SUM(D292:J292)&gt;0,1,OFFSET($K292,-MOD(BB292+4,5),0)=0,2,TRUE,0)</f>
        <v>2</v>
      </c>
      <c r="B292" s="527"/>
      <c r="C292" s="208">
        <v>204</v>
      </c>
      <c r="D292" s="194">
        <f ca="1">SUMIFS(Inventarisatie[Oppervlakte],Inventarisatie[Locatie],$BC292,Inventarisatie[Freq. Ma-Vr],$C292,Inventarisatie[Categorie],D$2)</f>
        <v>0</v>
      </c>
      <c r="E292" s="192">
        <f ca="1">SUMIFS(Inventarisatie[Oppervlakte],Inventarisatie[Locatie],$BC292,Inventarisatie[Freq. Ma-Vr],$C292,Inventarisatie[Categorie],E$2)</f>
        <v>0</v>
      </c>
      <c r="F292" s="192">
        <f ca="1">SUMIFS(Inventarisatie[Oppervlakte],Inventarisatie[Locatie],$BC292,Inventarisatie[Freq. Ma-Vr],$C292,Inventarisatie[Categorie],F$2)</f>
        <v>0</v>
      </c>
      <c r="G292" s="192">
        <f ca="1">SUMIFS(Inventarisatie[Oppervlakte],Inventarisatie[Locatie],$BC292,Inventarisatie[Freq. Ma-Vr],$C292,Inventarisatie[Categorie],G$2)</f>
        <v>0</v>
      </c>
      <c r="H292" s="192">
        <f ca="1">SUMIFS(Inventarisatie[Oppervlakte],Inventarisatie[Locatie],$BC292,Inventarisatie[Freq. Ma-Vr],$C292,Inventarisatie[Categorie],H$2)</f>
        <v>0</v>
      </c>
      <c r="I292" s="472">
        <f ca="1">SUMIFS(Inventarisatie[Oppervlakte],Inventarisatie[Locatie],$BC292,Inventarisatie[Freq. Ma-Vr],$C292,Inventarisatie[Categorie],I$2)</f>
        <v>0</v>
      </c>
      <c r="J292" s="472">
        <f ca="1">SUMIFS(Inventarisatie[Oppervlakte],Inventarisatie[Locatie],$BC292,Inventarisatie[Freq. Ma-Vr],$C292,Inventarisatie[Categorie],J$2)</f>
        <v>0</v>
      </c>
      <c r="K292" s="528"/>
      <c r="L292" s="316" t="b">
        <f>IF(_xlfn.XLOOKUP(BC292,Tabel2[Locatiecode],Tabel2[Type locatie],"",0)="vaccin",TRUE,FALSE)</f>
        <v>0</v>
      </c>
      <c r="BD292" s="9" t="str">
        <f t="shared" ca="1" si="4"/>
        <v/>
      </c>
    </row>
    <row r="293" spans="1:56" ht="0.2" customHeight="1" x14ac:dyDescent="0.2">
      <c r="A293" s="172" cm="1">
        <f t="array" aca="1" ref="A293" ca="1">_xlfn.IFS(SUM(D293:J293)&gt;0,1,OFFSET($K293,-MOD(BB293+4,5),0)=0,2,TRUE,0)</f>
        <v>2</v>
      </c>
      <c r="B293" s="527"/>
      <c r="C293" s="208">
        <v>156</v>
      </c>
      <c r="D293" s="194">
        <f ca="1">SUMIFS(Inventarisatie[Oppervlakte],Inventarisatie[Locatie],$BC293,Inventarisatie[Freq. Ma-Vr],$C293,Inventarisatie[Categorie],D$2)</f>
        <v>0</v>
      </c>
      <c r="E293" s="192">
        <f ca="1">SUMIFS(Inventarisatie[Oppervlakte],Inventarisatie[Locatie],$BC293,Inventarisatie[Freq. Ma-Vr],$C293,Inventarisatie[Categorie],E$2)</f>
        <v>0</v>
      </c>
      <c r="F293" s="192">
        <f ca="1">SUMIFS(Inventarisatie[Oppervlakte],Inventarisatie[Locatie],$BC293,Inventarisatie[Freq. Ma-Vr],$C293,Inventarisatie[Categorie],F$2)</f>
        <v>0</v>
      </c>
      <c r="G293" s="192">
        <f ca="1">SUMIFS(Inventarisatie[Oppervlakte],Inventarisatie[Locatie],$BC293,Inventarisatie[Freq. Ma-Vr],$C293,Inventarisatie[Categorie],G$2)</f>
        <v>0</v>
      </c>
      <c r="H293" s="192">
        <f ca="1">SUMIFS(Inventarisatie[Oppervlakte],Inventarisatie[Locatie],$BC293,Inventarisatie[Freq. Ma-Vr],$C293,Inventarisatie[Categorie],H$2)</f>
        <v>0</v>
      </c>
      <c r="I293" s="472">
        <f ca="1">SUMIFS(Inventarisatie[Oppervlakte],Inventarisatie[Locatie],$BC293,Inventarisatie[Freq. Ma-Vr],$C293,Inventarisatie[Categorie],I$2)</f>
        <v>0</v>
      </c>
      <c r="J293" s="472">
        <f ca="1">SUMIFS(Inventarisatie[Oppervlakte],Inventarisatie[Locatie],$BC293,Inventarisatie[Freq. Ma-Vr],$C293,Inventarisatie[Categorie],J$2)</f>
        <v>0</v>
      </c>
      <c r="K293" s="529"/>
      <c r="L293" s="316" t="b">
        <f>IF(_xlfn.XLOOKUP(BC293,Tabel2[Locatiecode],Tabel2[Type locatie],"",0)="vaccin",TRUE,FALSE)</f>
        <v>0</v>
      </c>
      <c r="BD293" s="9" t="str">
        <f t="shared" ca="1" si="4"/>
        <v/>
      </c>
    </row>
    <row r="294" spans="1:56" ht="0.2" customHeight="1" x14ac:dyDescent="0.2">
      <c r="A294" s="172" cm="1">
        <f t="array" aca="1" ref="A294" ca="1">_xlfn.IFS(SUM(D294:J294)&gt;0,1,OFFSET($K294,-MOD(BB294+4,5),0)=0,2,TRUE,0)</f>
        <v>2</v>
      </c>
      <c r="B294" s="527"/>
      <c r="C294" s="208">
        <v>104</v>
      </c>
      <c r="D294" s="194">
        <f ca="1">SUMIFS(Inventarisatie[Oppervlakte],Inventarisatie[Locatie],$BC294,Inventarisatie[Freq. Ma-Vr],$C294,Inventarisatie[Categorie],D$2)</f>
        <v>0</v>
      </c>
      <c r="E294" s="192">
        <f ca="1">SUMIFS(Inventarisatie[Oppervlakte],Inventarisatie[Locatie],$BC294,Inventarisatie[Freq. Ma-Vr],$C294,Inventarisatie[Categorie],E$2)</f>
        <v>0</v>
      </c>
      <c r="F294" s="192">
        <f ca="1">SUMIFS(Inventarisatie[Oppervlakte],Inventarisatie[Locatie],$BC294,Inventarisatie[Freq. Ma-Vr],$C294,Inventarisatie[Categorie],F$2)</f>
        <v>0</v>
      </c>
      <c r="G294" s="192">
        <f ca="1">SUMIFS(Inventarisatie[Oppervlakte],Inventarisatie[Locatie],$BC294,Inventarisatie[Freq. Ma-Vr],$C294,Inventarisatie[Categorie],G$2)</f>
        <v>0</v>
      </c>
      <c r="H294" s="192">
        <f ca="1">SUMIFS(Inventarisatie[Oppervlakte],Inventarisatie[Locatie],$BC294,Inventarisatie[Freq. Ma-Vr],$C294,Inventarisatie[Categorie],H$2)</f>
        <v>0</v>
      </c>
      <c r="I294" s="472">
        <f ca="1">SUMIFS(Inventarisatie[Oppervlakte],Inventarisatie[Locatie],$BC294,Inventarisatie[Freq. Ma-Vr],$C294,Inventarisatie[Categorie],I$2)</f>
        <v>0</v>
      </c>
      <c r="J294" s="472">
        <f ca="1">SUMIFS(Inventarisatie[Oppervlakte],Inventarisatie[Locatie],$BC294,Inventarisatie[Freq. Ma-Vr],$C294,Inventarisatie[Categorie],J$2)</f>
        <v>0</v>
      </c>
      <c r="K294" s="529"/>
      <c r="L294" s="316" t="b">
        <f>IF(_xlfn.XLOOKUP(BC294,Tabel2[Locatiecode],Tabel2[Type locatie],"",0)="vaccin",TRUE,FALSE)</f>
        <v>0</v>
      </c>
      <c r="BD294" s="9" t="str">
        <f t="shared" ca="1" si="4"/>
        <v/>
      </c>
    </row>
    <row r="295" spans="1:56" ht="0.2" customHeight="1" x14ac:dyDescent="0.2">
      <c r="A295" s="172" cm="1">
        <f t="array" aca="1" ref="A295" ca="1">_xlfn.IFS(SUM(D295:J295)&gt;0,1,OFFSET($K295,-MOD(BB295+4,5),0)=0,2,TRUE,0)</f>
        <v>2</v>
      </c>
      <c r="B295" s="527"/>
      <c r="C295" s="208">
        <v>52</v>
      </c>
      <c r="D295" s="194">
        <f ca="1">SUMIFS(Inventarisatie[Oppervlakte],Inventarisatie[Locatie],$BC295,Inventarisatie[Freq. Ma-Vr],$C295,Inventarisatie[Categorie],D$2)</f>
        <v>0</v>
      </c>
      <c r="E295" s="192">
        <f ca="1">SUMIFS(Inventarisatie[Oppervlakte],Inventarisatie[Locatie],$BC295,Inventarisatie[Freq. Ma-Vr],$C295,Inventarisatie[Categorie],E$2)</f>
        <v>0</v>
      </c>
      <c r="F295" s="192">
        <f ca="1">SUMIFS(Inventarisatie[Oppervlakte],Inventarisatie[Locatie],$BC295,Inventarisatie[Freq. Ma-Vr],$C295,Inventarisatie[Categorie],F$2)</f>
        <v>0</v>
      </c>
      <c r="G295" s="192">
        <f ca="1">SUMIFS(Inventarisatie[Oppervlakte],Inventarisatie[Locatie],$BC295,Inventarisatie[Freq. Ma-Vr],$C295,Inventarisatie[Categorie],G$2)</f>
        <v>0</v>
      </c>
      <c r="H295" s="192">
        <f ca="1">SUMIFS(Inventarisatie[Oppervlakte],Inventarisatie[Locatie],$BC295,Inventarisatie[Freq. Ma-Vr],$C295,Inventarisatie[Categorie],H$2)</f>
        <v>0</v>
      </c>
      <c r="I295" s="472">
        <f ca="1">SUMIFS(Inventarisatie[Oppervlakte],Inventarisatie[Locatie],$BC295,Inventarisatie[Freq. Ma-Vr],$C295,Inventarisatie[Categorie],I$2)</f>
        <v>0</v>
      </c>
      <c r="J295" s="472">
        <f ca="1">SUMIFS(Inventarisatie[Oppervlakte],Inventarisatie[Locatie],$BC295,Inventarisatie[Freq. Ma-Vr],$C295,Inventarisatie[Categorie],J$2)</f>
        <v>0</v>
      </c>
      <c r="K295" s="529"/>
      <c r="L295" s="316" t="b">
        <f>IF(_xlfn.XLOOKUP(BC295,Tabel2[Locatiecode],Tabel2[Type locatie],"",0)="vaccin",TRUE,FALSE)</f>
        <v>0</v>
      </c>
      <c r="BD295" s="9" t="str">
        <f t="shared" ca="1" si="4"/>
        <v/>
      </c>
    </row>
    <row r="296" spans="1:56" ht="0.2" customHeight="1" x14ac:dyDescent="0.2">
      <c r="A296" s="172" cm="1">
        <f t="array" aca="1" ref="A296" ca="1">_xlfn.IFS(SUM(D296:J296)&gt;0,1,OFFSET($K296,-MOD(BB296+4,5),0)=0,2,TRUE,0)</f>
        <v>2</v>
      </c>
      <c r="B296" s="527"/>
      <c r="C296" s="208">
        <v>4</v>
      </c>
      <c r="D296" s="194">
        <f ca="1">SUMIFS(Inventarisatie[Oppervlakte],Inventarisatie[Locatie],$BC296,Inventarisatie[Freq. Ma-Vr],$C296,Inventarisatie[Categorie],D$2)</f>
        <v>0</v>
      </c>
      <c r="E296" s="192">
        <f ca="1">SUMIFS(Inventarisatie[Oppervlakte],Inventarisatie[Locatie],$BC296,Inventarisatie[Freq. Ma-Vr],$C296,Inventarisatie[Categorie],E$2)</f>
        <v>0</v>
      </c>
      <c r="F296" s="192">
        <f ca="1">SUMIFS(Inventarisatie[Oppervlakte],Inventarisatie[Locatie],$BC296,Inventarisatie[Freq. Ma-Vr],$C296,Inventarisatie[Categorie],F$2)</f>
        <v>0</v>
      </c>
      <c r="G296" s="192">
        <f ca="1">SUMIFS(Inventarisatie[Oppervlakte],Inventarisatie[Locatie],$BC296,Inventarisatie[Freq. Ma-Vr],$C296,Inventarisatie[Categorie],G$2)</f>
        <v>0</v>
      </c>
      <c r="H296" s="192">
        <f ca="1">SUMIFS(Inventarisatie[Oppervlakte],Inventarisatie[Locatie],$BC296,Inventarisatie[Freq. Ma-Vr],$C296,Inventarisatie[Categorie],H$2)</f>
        <v>0</v>
      </c>
      <c r="I296" s="472">
        <f ca="1">SUMIFS(Inventarisatie[Oppervlakte],Inventarisatie[Locatie],$BC296,Inventarisatie[Freq. Ma-Vr],$C296,Inventarisatie[Categorie],I$2)</f>
        <v>0</v>
      </c>
      <c r="J296" s="472">
        <f ca="1">SUMIFS(Inventarisatie[Oppervlakte],Inventarisatie[Locatie],$BC296,Inventarisatie[Freq. Ma-Vr],$C296,Inventarisatie[Categorie],J$2)</f>
        <v>0</v>
      </c>
      <c r="K296" s="529"/>
      <c r="L296" s="316" t="b">
        <f>IF(_xlfn.XLOOKUP(BC296,Tabel2[Locatiecode],Tabel2[Type locatie],"",0)="vaccin",TRUE,FALSE)</f>
        <v>0</v>
      </c>
      <c r="BD296" s="9" t="str">
        <f t="shared" ca="1" si="4"/>
        <v/>
      </c>
    </row>
    <row r="297" spans="1:56" ht="0.2" customHeight="1" x14ac:dyDescent="0.2">
      <c r="A297" s="172" cm="1">
        <f t="array" aca="1" ref="A297" ca="1">_xlfn.IFS(SUM(D297:J297)&gt;0,1,OFFSET($K297,-MOD(BB297+4,5),0)=0,2,TRUE,0)</f>
        <v>2</v>
      </c>
      <c r="B297" s="527">
        <f>BC297</f>
        <v>0</v>
      </c>
      <c r="C297" s="208">
        <v>255</v>
      </c>
      <c r="D297" s="194">
        <f ca="1">SUMIFS(Inventarisatie[Oppervlakte],Inventarisatie[Locatie],$BC297,Inventarisatie[Freq. Ma-Vr],$C297,Inventarisatie[Categorie],D$2)</f>
        <v>0</v>
      </c>
      <c r="E297" s="192">
        <f ca="1">SUMIFS(Inventarisatie[Oppervlakte],Inventarisatie[Locatie],$BC297,Inventarisatie[Freq. Ma-Vr],$C297,Inventarisatie[Categorie],E$2)</f>
        <v>0</v>
      </c>
      <c r="F297" s="192">
        <f ca="1">SUMIFS(Inventarisatie[Oppervlakte],Inventarisatie[Locatie],$BC297,Inventarisatie[Freq. Ma-Vr],$C297,Inventarisatie[Categorie],F$2)</f>
        <v>0</v>
      </c>
      <c r="G297" s="192">
        <f ca="1">SUMIFS(Inventarisatie[Oppervlakte],Inventarisatie[Locatie],$BC297,Inventarisatie[Freq. Ma-Vr],$C297,Inventarisatie[Categorie],G$2)</f>
        <v>0</v>
      </c>
      <c r="H297" s="192">
        <f ca="1">SUMIFS(Inventarisatie[Oppervlakte],Inventarisatie[Locatie],$BC297,Inventarisatie[Freq. Ma-Vr],$C297,Inventarisatie[Categorie],H$2)</f>
        <v>0</v>
      </c>
      <c r="I297" s="472">
        <f ca="1">SUMIFS(Inventarisatie[Oppervlakte],Inventarisatie[Locatie],$BC297,Inventarisatie[Freq. Ma-Vr],$C297,Inventarisatie[Categorie],I$2)</f>
        <v>0</v>
      </c>
      <c r="J297" s="472">
        <f ca="1">SUMIFS(Inventarisatie[Oppervlakte],Inventarisatie[Locatie],$BC297,Inventarisatie[Freq. Ma-Vr],$C297,Inventarisatie[Categorie],J$2)</f>
        <v>0</v>
      </c>
      <c r="K297" s="528">
        <f ca="1">SUM(D297:J302)</f>
        <v>0</v>
      </c>
      <c r="L297" s="316" t="b">
        <f>IF(_xlfn.XLOOKUP(BC297,Tabel2[Locatiecode],Tabel2[Type locatie],"",0)="vaccin",TRUE,FALSE)</f>
        <v>0</v>
      </c>
      <c r="BD297" s="9" t="str">
        <f t="shared" ca="1" si="4"/>
        <v/>
      </c>
    </row>
    <row r="298" spans="1:56" ht="0.2" customHeight="1" x14ac:dyDescent="0.2">
      <c r="A298" s="172" cm="1">
        <f t="array" aca="1" ref="A298" ca="1">_xlfn.IFS(SUM(D298:J298)&gt;0,1,OFFSET($K298,-MOD(BB298+4,5),0)=0,2,TRUE,0)</f>
        <v>2</v>
      </c>
      <c r="B298" s="527"/>
      <c r="C298" s="208">
        <v>204</v>
      </c>
      <c r="D298" s="194">
        <f ca="1">SUMIFS(Inventarisatie[Oppervlakte],Inventarisatie[Locatie],$BC298,Inventarisatie[Freq. Ma-Vr],$C298,Inventarisatie[Categorie],D$2)</f>
        <v>0</v>
      </c>
      <c r="E298" s="192">
        <f ca="1">SUMIFS(Inventarisatie[Oppervlakte],Inventarisatie[Locatie],$BC298,Inventarisatie[Freq. Ma-Vr],$C298,Inventarisatie[Categorie],E$2)</f>
        <v>0</v>
      </c>
      <c r="F298" s="192">
        <f ca="1">SUMIFS(Inventarisatie[Oppervlakte],Inventarisatie[Locatie],$BC298,Inventarisatie[Freq. Ma-Vr],$C298,Inventarisatie[Categorie],F$2)</f>
        <v>0</v>
      </c>
      <c r="G298" s="192">
        <f ca="1">SUMIFS(Inventarisatie[Oppervlakte],Inventarisatie[Locatie],$BC298,Inventarisatie[Freq. Ma-Vr],$C298,Inventarisatie[Categorie],G$2)</f>
        <v>0</v>
      </c>
      <c r="H298" s="192">
        <f ca="1">SUMIFS(Inventarisatie[Oppervlakte],Inventarisatie[Locatie],$BC298,Inventarisatie[Freq. Ma-Vr],$C298,Inventarisatie[Categorie],H$2)</f>
        <v>0</v>
      </c>
      <c r="I298" s="472">
        <f ca="1">SUMIFS(Inventarisatie[Oppervlakte],Inventarisatie[Locatie],$BC298,Inventarisatie[Freq. Ma-Vr],$C298,Inventarisatie[Categorie],I$2)</f>
        <v>0</v>
      </c>
      <c r="J298" s="472">
        <f ca="1">SUMIFS(Inventarisatie[Oppervlakte],Inventarisatie[Locatie],$BC298,Inventarisatie[Freq. Ma-Vr],$C298,Inventarisatie[Categorie],J$2)</f>
        <v>0</v>
      </c>
      <c r="K298" s="528"/>
      <c r="L298" s="316" t="b">
        <f>IF(_xlfn.XLOOKUP(BC298,Tabel2[Locatiecode],Tabel2[Type locatie],"",0)="vaccin",TRUE,FALSE)</f>
        <v>0</v>
      </c>
      <c r="BD298" s="9" t="str">
        <f t="shared" ca="1" si="4"/>
        <v/>
      </c>
    </row>
    <row r="299" spans="1:56" ht="0.2" customHeight="1" x14ac:dyDescent="0.2">
      <c r="A299" s="172" cm="1">
        <f t="array" aca="1" ref="A299" ca="1">_xlfn.IFS(SUM(D299:J299)&gt;0,1,OFFSET($K299,-MOD(BB299+4,5),0)=0,2,TRUE,0)</f>
        <v>2</v>
      </c>
      <c r="B299" s="527"/>
      <c r="C299" s="208">
        <v>156</v>
      </c>
      <c r="D299" s="194">
        <f ca="1">SUMIFS(Inventarisatie[Oppervlakte],Inventarisatie[Locatie],$BC299,Inventarisatie[Freq. Ma-Vr],$C299,Inventarisatie[Categorie],D$2)</f>
        <v>0</v>
      </c>
      <c r="E299" s="192">
        <f ca="1">SUMIFS(Inventarisatie[Oppervlakte],Inventarisatie[Locatie],$BC299,Inventarisatie[Freq. Ma-Vr],$C299,Inventarisatie[Categorie],E$2)</f>
        <v>0</v>
      </c>
      <c r="F299" s="192">
        <f ca="1">SUMIFS(Inventarisatie[Oppervlakte],Inventarisatie[Locatie],$BC299,Inventarisatie[Freq. Ma-Vr],$C299,Inventarisatie[Categorie],F$2)</f>
        <v>0</v>
      </c>
      <c r="G299" s="192">
        <f ca="1">SUMIFS(Inventarisatie[Oppervlakte],Inventarisatie[Locatie],$BC299,Inventarisatie[Freq. Ma-Vr],$C299,Inventarisatie[Categorie],G$2)</f>
        <v>0</v>
      </c>
      <c r="H299" s="192">
        <f ca="1">SUMIFS(Inventarisatie[Oppervlakte],Inventarisatie[Locatie],$BC299,Inventarisatie[Freq. Ma-Vr],$C299,Inventarisatie[Categorie],H$2)</f>
        <v>0</v>
      </c>
      <c r="I299" s="472">
        <f ca="1">SUMIFS(Inventarisatie[Oppervlakte],Inventarisatie[Locatie],$BC299,Inventarisatie[Freq. Ma-Vr],$C299,Inventarisatie[Categorie],I$2)</f>
        <v>0</v>
      </c>
      <c r="J299" s="472">
        <f ca="1">SUMIFS(Inventarisatie[Oppervlakte],Inventarisatie[Locatie],$BC299,Inventarisatie[Freq. Ma-Vr],$C299,Inventarisatie[Categorie],J$2)</f>
        <v>0</v>
      </c>
      <c r="K299" s="529"/>
      <c r="L299" s="316" t="b">
        <f>IF(_xlfn.XLOOKUP(BC299,Tabel2[Locatiecode],Tabel2[Type locatie],"",0)="vaccin",TRUE,FALSE)</f>
        <v>0</v>
      </c>
      <c r="BD299" s="9" t="str">
        <f t="shared" ca="1" si="4"/>
        <v/>
      </c>
    </row>
    <row r="300" spans="1:56" ht="0.2" customHeight="1" x14ac:dyDescent="0.2">
      <c r="A300" s="172" cm="1">
        <f t="array" aca="1" ref="A300" ca="1">_xlfn.IFS(SUM(D300:J300)&gt;0,1,OFFSET($K300,-MOD(BB300+4,5),0)=0,2,TRUE,0)</f>
        <v>2</v>
      </c>
      <c r="B300" s="527"/>
      <c r="C300" s="208">
        <v>104</v>
      </c>
      <c r="D300" s="194">
        <f ca="1">SUMIFS(Inventarisatie[Oppervlakte],Inventarisatie[Locatie],$BC300,Inventarisatie[Freq. Ma-Vr],$C300,Inventarisatie[Categorie],D$2)</f>
        <v>0</v>
      </c>
      <c r="E300" s="192">
        <f ca="1">SUMIFS(Inventarisatie[Oppervlakte],Inventarisatie[Locatie],$BC300,Inventarisatie[Freq. Ma-Vr],$C300,Inventarisatie[Categorie],E$2)</f>
        <v>0</v>
      </c>
      <c r="F300" s="192">
        <f ca="1">SUMIFS(Inventarisatie[Oppervlakte],Inventarisatie[Locatie],$BC300,Inventarisatie[Freq. Ma-Vr],$C300,Inventarisatie[Categorie],F$2)</f>
        <v>0</v>
      </c>
      <c r="G300" s="192">
        <f ca="1">SUMIFS(Inventarisatie[Oppervlakte],Inventarisatie[Locatie],$BC300,Inventarisatie[Freq. Ma-Vr],$C300,Inventarisatie[Categorie],G$2)</f>
        <v>0</v>
      </c>
      <c r="H300" s="192">
        <f ca="1">SUMIFS(Inventarisatie[Oppervlakte],Inventarisatie[Locatie],$BC300,Inventarisatie[Freq. Ma-Vr],$C300,Inventarisatie[Categorie],H$2)</f>
        <v>0</v>
      </c>
      <c r="I300" s="472">
        <f ca="1">SUMIFS(Inventarisatie[Oppervlakte],Inventarisatie[Locatie],$BC300,Inventarisatie[Freq. Ma-Vr],$C300,Inventarisatie[Categorie],I$2)</f>
        <v>0</v>
      </c>
      <c r="J300" s="472">
        <f ca="1">SUMIFS(Inventarisatie[Oppervlakte],Inventarisatie[Locatie],$BC300,Inventarisatie[Freq. Ma-Vr],$C300,Inventarisatie[Categorie],J$2)</f>
        <v>0</v>
      </c>
      <c r="K300" s="529"/>
      <c r="L300" s="316" t="b">
        <f>IF(_xlfn.XLOOKUP(BC300,Tabel2[Locatiecode],Tabel2[Type locatie],"",0)="vaccin",TRUE,FALSE)</f>
        <v>0</v>
      </c>
      <c r="BD300" s="9" t="str">
        <f t="shared" ca="1" si="4"/>
        <v/>
      </c>
    </row>
    <row r="301" spans="1:56" ht="0.2" customHeight="1" x14ac:dyDescent="0.2">
      <c r="A301" s="172" cm="1">
        <f t="array" aca="1" ref="A301" ca="1">_xlfn.IFS(SUM(D301:J301)&gt;0,1,OFFSET($K301,-MOD(BB301+4,5),0)=0,2,TRUE,0)</f>
        <v>2</v>
      </c>
      <c r="B301" s="527"/>
      <c r="C301" s="208">
        <v>52</v>
      </c>
      <c r="D301" s="194">
        <f ca="1">SUMIFS(Inventarisatie[Oppervlakte],Inventarisatie[Locatie],$BC301,Inventarisatie[Freq. Ma-Vr],$C301,Inventarisatie[Categorie],D$2)</f>
        <v>0</v>
      </c>
      <c r="E301" s="192">
        <f ca="1">SUMIFS(Inventarisatie[Oppervlakte],Inventarisatie[Locatie],$BC301,Inventarisatie[Freq. Ma-Vr],$C301,Inventarisatie[Categorie],E$2)</f>
        <v>0</v>
      </c>
      <c r="F301" s="192">
        <f ca="1">SUMIFS(Inventarisatie[Oppervlakte],Inventarisatie[Locatie],$BC301,Inventarisatie[Freq. Ma-Vr],$C301,Inventarisatie[Categorie],F$2)</f>
        <v>0</v>
      </c>
      <c r="G301" s="192">
        <f ca="1">SUMIFS(Inventarisatie[Oppervlakte],Inventarisatie[Locatie],$BC301,Inventarisatie[Freq. Ma-Vr],$C301,Inventarisatie[Categorie],G$2)</f>
        <v>0</v>
      </c>
      <c r="H301" s="192">
        <f ca="1">SUMIFS(Inventarisatie[Oppervlakte],Inventarisatie[Locatie],$BC301,Inventarisatie[Freq. Ma-Vr],$C301,Inventarisatie[Categorie],H$2)</f>
        <v>0</v>
      </c>
      <c r="I301" s="472">
        <f ca="1">SUMIFS(Inventarisatie[Oppervlakte],Inventarisatie[Locatie],$BC301,Inventarisatie[Freq. Ma-Vr],$C301,Inventarisatie[Categorie],I$2)</f>
        <v>0</v>
      </c>
      <c r="J301" s="472">
        <f ca="1">SUMIFS(Inventarisatie[Oppervlakte],Inventarisatie[Locatie],$BC301,Inventarisatie[Freq. Ma-Vr],$C301,Inventarisatie[Categorie],J$2)</f>
        <v>0</v>
      </c>
      <c r="K301" s="529"/>
      <c r="L301" s="316" t="b">
        <f>IF(_xlfn.XLOOKUP(BC301,Tabel2[Locatiecode],Tabel2[Type locatie],"",0)="vaccin",TRUE,FALSE)</f>
        <v>0</v>
      </c>
      <c r="BD301" s="9" t="str">
        <f t="shared" ca="1" si="4"/>
        <v/>
      </c>
    </row>
    <row r="302" spans="1:56" ht="0.2" customHeight="1" thickBot="1" x14ac:dyDescent="0.25">
      <c r="A302" s="172" cm="1">
        <f t="array" aca="1" ref="A302" ca="1">_xlfn.IFS(SUM(D302:J302)&gt;0,1,OFFSET($K302,-MOD(BB302+4,5),0)=0,2,TRUE,0)</f>
        <v>2</v>
      </c>
      <c r="B302" s="530"/>
      <c r="C302" s="208">
        <v>4</v>
      </c>
      <c r="D302" s="477">
        <f ca="1">SUMIFS(Inventarisatie[Oppervlakte],Inventarisatie[Locatie],$BC302,Inventarisatie[Freq. Ma-Vr],$C302,Inventarisatie[Categorie],D$2)</f>
        <v>0</v>
      </c>
      <c r="E302" s="478">
        <f ca="1">SUMIFS(Inventarisatie[Oppervlakte],Inventarisatie[Locatie],$BC302,Inventarisatie[Freq. Ma-Vr],$C302,Inventarisatie[Categorie],E$2)</f>
        <v>0</v>
      </c>
      <c r="F302" s="478">
        <f ca="1">SUMIFS(Inventarisatie[Oppervlakte],Inventarisatie[Locatie],$BC302,Inventarisatie[Freq. Ma-Vr],$C302,Inventarisatie[Categorie],F$2)</f>
        <v>0</v>
      </c>
      <c r="G302" s="478">
        <f ca="1">SUMIFS(Inventarisatie[Oppervlakte],Inventarisatie[Locatie],$BC302,Inventarisatie[Freq. Ma-Vr],$C302,Inventarisatie[Categorie],G$2)</f>
        <v>0</v>
      </c>
      <c r="H302" s="478">
        <f ca="1">SUMIFS(Inventarisatie[Oppervlakte],Inventarisatie[Locatie],$BC302,Inventarisatie[Freq. Ma-Vr],$C302,Inventarisatie[Categorie],H$2)</f>
        <v>0</v>
      </c>
      <c r="I302" s="479">
        <f ca="1">SUMIFS(Inventarisatie[Oppervlakte],Inventarisatie[Locatie],$BC302,Inventarisatie[Freq. Ma-Vr],$C302,Inventarisatie[Categorie],I$2)</f>
        <v>0</v>
      </c>
      <c r="J302" s="479">
        <f ca="1">SUMIFS(Inventarisatie[Oppervlakte],Inventarisatie[Locatie],$BC302,Inventarisatie[Freq. Ma-Vr],$C302,Inventarisatie[Categorie],J$2)</f>
        <v>0</v>
      </c>
      <c r="K302" s="531"/>
      <c r="L302" s="316" t="b">
        <f>IF(_xlfn.XLOOKUP(BC302,Tabel2[Locatiecode],Tabel2[Type locatie],"",0)="vaccin",TRUE,FALSE)</f>
        <v>0</v>
      </c>
      <c r="BD302" s="9" t="str">
        <f t="shared" ca="1" si="4"/>
        <v/>
      </c>
    </row>
    <row r="303" spans="1:56" ht="15" customHeight="1" thickBot="1" x14ac:dyDescent="0.25">
      <c r="B303" s="195" t="s">
        <v>313</v>
      </c>
      <c r="C303" s="196"/>
      <c r="D303" s="197">
        <f t="shared" ref="D303:J303" ca="1" si="5">SUM(D3:D302)</f>
        <v>1252.4000000000001</v>
      </c>
      <c r="E303" s="197">
        <f t="shared" ca="1" si="5"/>
        <v>3392.5</v>
      </c>
      <c r="F303" s="197">
        <f t="shared" ca="1" si="5"/>
        <v>3585.5</v>
      </c>
      <c r="G303" s="197">
        <f t="shared" ca="1" si="5"/>
        <v>742.9</v>
      </c>
      <c r="H303" s="197">
        <f t="shared" ca="1" si="5"/>
        <v>363.49999999999994</v>
      </c>
      <c r="I303" s="197">
        <f t="shared" ca="1" si="5"/>
        <v>4289.8</v>
      </c>
      <c r="J303" s="197">
        <f t="shared" ca="1" si="5"/>
        <v>0</v>
      </c>
      <c r="K303" s="201">
        <f ca="1">SUM(D303:J303)</f>
        <v>13626.599999999999</v>
      </c>
    </row>
    <row r="304" spans="1:56" ht="15" customHeight="1" x14ac:dyDescent="0.2"/>
    <row r="305" ht="15" customHeight="1" x14ac:dyDescent="0.2"/>
    <row r="306" ht="15" customHeight="1" x14ac:dyDescent="0.2"/>
    <row r="348" spans="11:11" x14ac:dyDescent="0.2">
      <c r="K348" s="318"/>
    </row>
    <row r="349" spans="11:11" x14ac:dyDescent="0.2">
      <c r="K349" s="318"/>
    </row>
    <row r="350" spans="11:11" x14ac:dyDescent="0.2">
      <c r="K350" s="318" t="b">
        <f ca="1">SUMIF(Inventarisatie[Freq. Ma-Vr],0,Inventarisatie[Oppervlakte])+K303=SUM(Inventarisatie[Oppervlakte])</f>
        <v>1</v>
      </c>
    </row>
    <row r="351" spans="11:11" x14ac:dyDescent="0.2">
      <c r="K351" s="318"/>
    </row>
    <row r="352" spans="11:11" x14ac:dyDescent="0.2">
      <c r="K352" s="318"/>
    </row>
    <row r="353" spans="11:11" x14ac:dyDescent="0.2">
      <c r="K353" s="318"/>
    </row>
  </sheetData>
  <sortState xmlns:xlrd2="http://schemas.microsoft.com/office/spreadsheetml/2017/richdata2" ref="B3:B8">
    <sortCondition ref="B3:B8"/>
  </sortState>
  <mergeCells count="100">
    <mergeCell ref="B3:B8"/>
    <mergeCell ref="B9:B14"/>
    <mergeCell ref="B27:B32"/>
    <mergeCell ref="K3:K8"/>
    <mergeCell ref="K27:K32"/>
    <mergeCell ref="K9:K14"/>
    <mergeCell ref="B15:B20"/>
    <mergeCell ref="K15:K20"/>
    <mergeCell ref="B21:B26"/>
    <mergeCell ref="K21:K26"/>
    <mergeCell ref="B33:B38"/>
    <mergeCell ref="K33:K38"/>
    <mergeCell ref="B39:B44"/>
    <mergeCell ref="K39:K44"/>
    <mergeCell ref="B45:B50"/>
    <mergeCell ref="K45:K50"/>
    <mergeCell ref="B51:B56"/>
    <mergeCell ref="K51:K56"/>
    <mergeCell ref="B57:B62"/>
    <mergeCell ref="K57:K62"/>
    <mergeCell ref="B63:B68"/>
    <mergeCell ref="K63:K68"/>
    <mergeCell ref="B69:B74"/>
    <mergeCell ref="K69:K74"/>
    <mergeCell ref="B75:B80"/>
    <mergeCell ref="K75:K80"/>
    <mergeCell ref="B81:B86"/>
    <mergeCell ref="K81:K86"/>
    <mergeCell ref="B87:B92"/>
    <mergeCell ref="K87:K92"/>
    <mergeCell ref="B93:B98"/>
    <mergeCell ref="K93:K98"/>
    <mergeCell ref="B99:B104"/>
    <mergeCell ref="K99:K104"/>
    <mergeCell ref="B105:B110"/>
    <mergeCell ref="K105:K110"/>
    <mergeCell ref="B111:B116"/>
    <mergeCell ref="K111:K116"/>
    <mergeCell ref="B117:B122"/>
    <mergeCell ref="K117:K122"/>
    <mergeCell ref="B123:B128"/>
    <mergeCell ref="K123:K128"/>
    <mergeCell ref="B129:B134"/>
    <mergeCell ref="K129:K134"/>
    <mergeCell ref="B135:B140"/>
    <mergeCell ref="K135:K140"/>
    <mergeCell ref="B141:B146"/>
    <mergeCell ref="K141:K146"/>
    <mergeCell ref="B147:B152"/>
    <mergeCell ref="K147:K152"/>
    <mergeCell ref="B153:B158"/>
    <mergeCell ref="K153:K158"/>
    <mergeCell ref="B159:B164"/>
    <mergeCell ref="K159:K164"/>
    <mergeCell ref="B165:B170"/>
    <mergeCell ref="K165:K170"/>
    <mergeCell ref="B171:B176"/>
    <mergeCell ref="K171:K176"/>
    <mergeCell ref="B177:B182"/>
    <mergeCell ref="K177:K182"/>
    <mergeCell ref="B183:B188"/>
    <mergeCell ref="K183:K188"/>
    <mergeCell ref="B189:B194"/>
    <mergeCell ref="K189:K194"/>
    <mergeCell ref="B195:B200"/>
    <mergeCell ref="K195:K200"/>
    <mergeCell ref="B201:B206"/>
    <mergeCell ref="K201:K206"/>
    <mergeCell ref="B207:B212"/>
    <mergeCell ref="K207:K212"/>
    <mergeCell ref="B213:B218"/>
    <mergeCell ref="K213:K218"/>
    <mergeCell ref="B219:B224"/>
    <mergeCell ref="K219:K224"/>
    <mergeCell ref="B225:B230"/>
    <mergeCell ref="K225:K230"/>
    <mergeCell ref="B231:B236"/>
    <mergeCell ref="K231:K236"/>
    <mergeCell ref="B237:B242"/>
    <mergeCell ref="K237:K242"/>
    <mergeCell ref="B243:B248"/>
    <mergeCell ref="K243:K248"/>
    <mergeCell ref="B249:B254"/>
    <mergeCell ref="K249:K254"/>
    <mergeCell ref="B255:B260"/>
    <mergeCell ref="K255:K260"/>
    <mergeCell ref="B261:B266"/>
    <mergeCell ref="K261:K266"/>
    <mergeCell ref="B267:B272"/>
    <mergeCell ref="K267:K272"/>
    <mergeCell ref="B273:B278"/>
    <mergeCell ref="K273:K278"/>
    <mergeCell ref="B279:B284"/>
    <mergeCell ref="K279:K284"/>
    <mergeCell ref="B285:B290"/>
    <mergeCell ref="K285:K290"/>
    <mergeCell ref="B291:B296"/>
    <mergeCell ref="K291:K296"/>
    <mergeCell ref="B297:B302"/>
    <mergeCell ref="K297:K302"/>
  </mergeCells>
  <phoneticPr fontId="3" type="noConversion"/>
  <conditionalFormatting sqref="B303:K303">
    <cfRule type="expression" dxfId="23" priority="2">
      <formula>$K$350=FALSE</formula>
    </cfRule>
  </conditionalFormatting>
  <conditionalFormatting sqref="B3:K302">
    <cfRule type="expression" dxfId="22" priority="1">
      <formula>$L3</formula>
    </cfRule>
  </conditionalFormatting>
  <hyperlinks>
    <hyperlink ref="D2" location="Boxenruimte!A1" display="Boxenruimte!A1" xr:uid="{9FD5E9B4-D093-4965-9C2C-C9B974D87E41}"/>
    <hyperlink ref="E2" location="Kantoorruimte!A1" display="Kantoorruimte!A1" xr:uid="{9E387562-8571-497D-95DC-1692B452B8ED}"/>
    <hyperlink ref="F2" location="'Representatieve ruimte'!A1" display="'Representatieve ruimte'!A1" xr:uid="{C457B826-7DCB-4507-BBD9-BDF1DB09333F}"/>
    <hyperlink ref="G2" location="'Restauratieve ruimte'!A1" display="'Restauratieve ruimte'!A1" xr:uid="{0A0770DC-9544-4642-819B-A33506C2A4C9}"/>
    <hyperlink ref="H2" location="'Sanitaire ruimte'!A1" display="'Sanitaire ruimte'!A1" xr:uid="{8AE996F8-FD78-4DD4-918D-4213FD5B908C}"/>
    <hyperlink ref="I2" location="Verkeersruimte!A1" display="Verkeersruimte!A1" xr:uid="{3B76DAA6-F413-4345-B5CC-A59DA6B9DA13}"/>
    <hyperlink ref="B2" location="Locatieoverzicht!A1" display="Locatie" xr:uid="{9A0128DB-5FD3-48F0-8748-9F945B1EC60A}"/>
  </hyperlinks>
  <printOptions horizontalCentered="1" verticalCentered="1"/>
  <pageMargins left="0.70866141732283472" right="0.70866141732283472" top="0.74803149606299213" bottom="0.74803149606299213" header="0.31496062992125984" footer="0.31496062992125984"/>
  <pageSetup paperSize="9" scale="87" fitToHeight="0" orientation="portrait" horizontalDpi="0" verticalDpi="0" r:id="rId1"/>
  <headerFooter>
    <oddHeader>&amp;L&amp;9&amp;K04-048Ruimtestaat&amp;R&amp;G</oddHeader>
    <oddFooter>&amp;L&amp;9&amp;K04-049Offerteaanvraag EU Openbare aanbesteding Schoonmaakonderhoud&amp;C&amp;9&amp;K04-049 8 april 2022&amp;R&amp;9&amp;K04-049Blad &amp;P van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8F03D-5DD8-4C7C-A925-65A573EB834B}">
  <sheetPr codeName="Blad6">
    <tabColor theme="4" tint="0.39997558519241921"/>
    <pageSetUpPr fitToPage="1"/>
  </sheetPr>
  <dimension ref="B1:Q52"/>
  <sheetViews>
    <sheetView showGridLines="0" showRowColHeaders="0" topLeftCell="A16" zoomScaleNormal="100" workbookViewId="0">
      <selection activeCell="C46" sqref="C46"/>
    </sheetView>
  </sheetViews>
  <sheetFormatPr defaultColWidth="10.85546875" defaultRowHeight="12" x14ac:dyDescent="0.2"/>
  <cols>
    <col min="1" max="1" width="10.85546875" style="9"/>
    <col min="2" max="2" width="32.42578125" style="9" customWidth="1"/>
    <col min="3" max="3" width="10.7109375" style="9" customWidth="1"/>
    <col min="4" max="5" width="10.85546875" style="9"/>
    <col min="6" max="6" width="11" style="9" customWidth="1"/>
    <col min="7" max="16384" width="10.85546875" style="9"/>
  </cols>
  <sheetData>
    <row r="1" spans="2:17" ht="12.75" thickBot="1" x14ac:dyDescent="0.25"/>
    <row r="2" spans="2:17" ht="32.1" customHeight="1" thickBot="1" x14ac:dyDescent="0.25">
      <c r="B2" s="545" t="s">
        <v>351</v>
      </c>
      <c r="C2" s="546"/>
      <c r="D2" s="537" t="s">
        <v>763</v>
      </c>
      <c r="E2" s="538"/>
      <c r="F2" s="537" t="s">
        <v>353</v>
      </c>
      <c r="G2" s="538"/>
      <c r="H2" s="537" t="s">
        <v>355</v>
      </c>
      <c r="I2" s="538"/>
      <c r="J2" s="543"/>
      <c r="K2" s="544"/>
      <c r="L2" s="543"/>
      <c r="M2" s="544"/>
      <c r="N2" s="537" t="s">
        <v>354</v>
      </c>
      <c r="O2" s="538"/>
    </row>
    <row r="3" spans="2:17" ht="12.75" thickBot="1" x14ac:dyDescent="0.25">
      <c r="D3" s="539"/>
      <c r="E3" s="539"/>
      <c r="F3" s="211"/>
      <c r="H3" s="211"/>
      <c r="J3" s="539"/>
      <c r="K3" s="539"/>
      <c r="L3" s="539"/>
      <c r="M3" s="539"/>
      <c r="N3" s="211"/>
    </row>
    <row r="4" spans="2:17" x14ac:dyDescent="0.2">
      <c r="B4" s="212" t="s">
        <v>356</v>
      </c>
      <c r="C4" s="13"/>
      <c r="D4" s="14"/>
      <c r="E4" s="213"/>
      <c r="F4" s="14"/>
      <c r="G4" s="213"/>
      <c r="H4" s="14"/>
      <c r="I4" s="213"/>
      <c r="J4" s="14"/>
      <c r="K4" s="213"/>
      <c r="L4" s="14"/>
      <c r="M4" s="213"/>
      <c r="N4" s="14"/>
      <c r="O4" s="213"/>
    </row>
    <row r="5" spans="2:17" x14ac:dyDescent="0.2">
      <c r="B5" s="319"/>
      <c r="C5" s="26"/>
      <c r="D5" s="27"/>
      <c r="E5" s="320"/>
      <c r="F5" s="27"/>
      <c r="G5" s="320"/>
      <c r="H5" s="27"/>
      <c r="I5" s="320"/>
      <c r="J5" s="27"/>
      <c r="K5" s="320"/>
      <c r="L5" s="27"/>
      <c r="M5" s="320"/>
      <c r="N5" s="27"/>
      <c r="O5" s="320"/>
    </row>
    <row r="6" spans="2:17" x14ac:dyDescent="0.2">
      <c r="B6" s="321" t="s">
        <v>357</v>
      </c>
      <c r="C6" s="28"/>
      <c r="D6" s="29"/>
      <c r="E6" s="322" t="str">
        <f>IF(D6="","",D6*$E$4)</f>
        <v/>
      </c>
      <c r="F6" s="29"/>
      <c r="G6" s="322" t="str">
        <f>IF(F6="","",F6*$G$4)</f>
        <v/>
      </c>
      <c r="H6" s="29"/>
      <c r="I6" s="322" t="str">
        <f>IF(H6="","",H6*$I$4)</f>
        <v/>
      </c>
      <c r="J6" s="29"/>
      <c r="K6" s="322" t="str">
        <f>IF(J6="","",J6*$K$4)</f>
        <v/>
      </c>
      <c r="L6" s="29"/>
      <c r="M6" s="322" t="str">
        <f>IF(L6="","",L6*$M$4)</f>
        <v/>
      </c>
      <c r="N6" s="29" t="s">
        <v>358</v>
      </c>
      <c r="O6" s="322" t="str">
        <f>IF(N6="","",N6*$O$4)</f>
        <v/>
      </c>
    </row>
    <row r="7" spans="2:17" x14ac:dyDescent="0.2">
      <c r="B7" s="323"/>
      <c r="C7" s="30"/>
      <c r="D7" s="31"/>
      <c r="E7" s="324" t="str">
        <f>IF(D7="","",D7*$E$4)</f>
        <v/>
      </c>
      <c r="F7" s="31"/>
      <c r="G7" s="324" t="str">
        <f>IF(F7="","",F7*$G$4)</f>
        <v/>
      </c>
      <c r="H7" s="31"/>
      <c r="I7" s="324" t="str">
        <f>IF(H7="","",H7*$I$4)</f>
        <v/>
      </c>
      <c r="J7" s="31"/>
      <c r="K7" s="324" t="str">
        <f>IF(J7="","",J7*$K$4)</f>
        <v/>
      </c>
      <c r="L7" s="31"/>
      <c r="M7" s="324" t="str">
        <f>IF(L7="","",L7*$M$4)</f>
        <v/>
      </c>
      <c r="N7" s="31" t="s">
        <v>358</v>
      </c>
      <c r="O7" s="324" t="str">
        <f>IF(N7="","",N7*$O$4)</f>
        <v/>
      </c>
    </row>
    <row r="8" spans="2:17" x14ac:dyDescent="0.2">
      <c r="B8" s="325"/>
      <c r="C8" s="32"/>
      <c r="D8" s="33"/>
      <c r="E8" s="326" t="str">
        <f>IF(D8="","",D8*$E$4)</f>
        <v/>
      </c>
      <c r="F8" s="33"/>
      <c r="G8" s="326" t="str">
        <f>IF(F8="","",F8*$G$4)</f>
        <v/>
      </c>
      <c r="H8" s="33"/>
      <c r="I8" s="326" t="str">
        <f>IF(H8="","",H8*$I$4)</f>
        <v/>
      </c>
      <c r="J8" s="33"/>
      <c r="K8" s="326" t="str">
        <f>IF(J8="","",J8*$K$4)</f>
        <v/>
      </c>
      <c r="L8" s="33"/>
      <c r="M8" s="326" t="str">
        <f>IF(L8="","",L8*$M$4)</f>
        <v/>
      </c>
      <c r="N8" s="33"/>
      <c r="O8" s="326" t="str">
        <f>IF(N8="","",N8*$O$4)</f>
        <v/>
      </c>
    </row>
    <row r="9" spans="2:17" x14ac:dyDescent="0.2">
      <c r="B9" s="214" t="s">
        <v>359</v>
      </c>
      <c r="C9" s="15"/>
      <c r="D9" s="16"/>
      <c r="E9" s="215">
        <f>SUM(E4:E8)</f>
        <v>0</v>
      </c>
      <c r="F9" s="16"/>
      <c r="G9" s="215">
        <f>SUM(G4:G8)</f>
        <v>0</v>
      </c>
      <c r="H9" s="16"/>
      <c r="I9" s="215">
        <f>SUM(I4:I8)</f>
        <v>0</v>
      </c>
      <c r="J9" s="16"/>
      <c r="K9" s="215">
        <f>SUM(K4:K8)</f>
        <v>0</v>
      </c>
      <c r="L9" s="16"/>
      <c r="M9" s="215">
        <f>SUM(M4:M8)</f>
        <v>0</v>
      </c>
      <c r="N9" s="16"/>
      <c r="O9" s="215">
        <f>SUM(O4:O8)</f>
        <v>0</v>
      </c>
      <c r="Q9" s="107"/>
    </row>
    <row r="10" spans="2:17" x14ac:dyDescent="0.2">
      <c r="B10" s="327"/>
      <c r="C10" s="34"/>
      <c r="D10" s="35"/>
      <c r="E10" s="328"/>
      <c r="F10" s="35"/>
      <c r="G10" s="328"/>
      <c r="H10" s="35"/>
      <c r="I10" s="328"/>
      <c r="J10" s="35"/>
      <c r="K10" s="328"/>
      <c r="L10" s="35"/>
      <c r="M10" s="328"/>
      <c r="N10" s="35"/>
      <c r="O10" s="328"/>
    </row>
    <row r="11" spans="2:17" x14ac:dyDescent="0.2">
      <c r="B11" s="329" t="s">
        <v>360</v>
      </c>
      <c r="C11" s="28"/>
      <c r="D11" s="36"/>
      <c r="E11" s="330">
        <f>E9</f>
        <v>0</v>
      </c>
      <c r="F11" s="36"/>
      <c r="G11" s="330">
        <f>G9</f>
        <v>0</v>
      </c>
      <c r="H11" s="36"/>
      <c r="I11" s="330">
        <f>I9</f>
        <v>0</v>
      </c>
      <c r="J11" s="36"/>
      <c r="K11" s="330">
        <f>K9</f>
        <v>0</v>
      </c>
      <c r="L11" s="36"/>
      <c r="M11" s="330">
        <f>M9</f>
        <v>0</v>
      </c>
      <c r="N11" s="36"/>
      <c r="O11" s="330">
        <f>O9</f>
        <v>0</v>
      </c>
    </row>
    <row r="12" spans="2:17" x14ac:dyDescent="0.2">
      <c r="B12" s="331" t="s">
        <v>361</v>
      </c>
      <c r="C12" s="30"/>
      <c r="D12" s="31"/>
      <c r="E12" s="324" t="str">
        <f>IF(D12="","",D12*$E$11)</f>
        <v/>
      </c>
      <c r="F12" s="31"/>
      <c r="G12" s="324" t="str">
        <f>IF(F12="","",F12*$G$11)</f>
        <v/>
      </c>
      <c r="H12" s="31"/>
      <c r="I12" s="324" t="str">
        <f>IF(H12="","",H12*$I$11)</f>
        <v/>
      </c>
      <c r="J12" s="31"/>
      <c r="K12" s="324" t="str">
        <f>IF(J12="","",J12*$K$11)</f>
        <v/>
      </c>
      <c r="L12" s="31"/>
      <c r="M12" s="324" t="str">
        <f>IF(L12="","",L12*$M$11)</f>
        <v/>
      </c>
      <c r="N12" s="31" t="s">
        <v>358</v>
      </c>
      <c r="O12" s="324" t="str">
        <f>IF(N12="","",N12*$O$11)</f>
        <v/>
      </c>
      <c r="Q12" s="107"/>
    </row>
    <row r="13" spans="2:17" x14ac:dyDescent="0.2">
      <c r="B13" s="325"/>
      <c r="C13" s="32"/>
      <c r="D13" s="33"/>
      <c r="E13" s="326" t="str">
        <f>IF(D13="","",D13*$E$11)</f>
        <v/>
      </c>
      <c r="F13" s="33"/>
      <c r="G13" s="326" t="str">
        <f>IF(F13="","",F13*$G$11)</f>
        <v/>
      </c>
      <c r="H13" s="33"/>
      <c r="I13" s="326" t="str">
        <f>IF(H13="","",H13*$I$11)</f>
        <v/>
      </c>
      <c r="J13" s="33"/>
      <c r="K13" s="326" t="str">
        <f>IF(J13="","",J13*$K$11)</f>
        <v/>
      </c>
      <c r="L13" s="33"/>
      <c r="M13" s="326" t="str">
        <f>IF(L13="","",L13*$M$11)</f>
        <v/>
      </c>
      <c r="N13" s="33" t="s">
        <v>358</v>
      </c>
      <c r="O13" s="326" t="str">
        <f>IF(N13="","",N13*$O$11)</f>
        <v/>
      </c>
      <c r="Q13" s="107"/>
    </row>
    <row r="14" spans="2:17" x14ac:dyDescent="0.2">
      <c r="B14" s="214" t="s">
        <v>362</v>
      </c>
      <c r="C14" s="15"/>
      <c r="D14" s="16"/>
      <c r="E14" s="215">
        <f>IF(E11="",0,SUM(E9,E12,E13))</f>
        <v>0</v>
      </c>
      <c r="F14" s="16"/>
      <c r="G14" s="215">
        <f>IF(G11="",0,SUM(G9,G12,G13))</f>
        <v>0</v>
      </c>
      <c r="H14" s="16"/>
      <c r="I14" s="215">
        <f>IF(I11="",0,SUM(I9,I12,I13))</f>
        <v>0</v>
      </c>
      <c r="J14" s="16"/>
      <c r="K14" s="215">
        <f>IF(K11="",0,SUM(K9,K12,K13))</f>
        <v>0</v>
      </c>
      <c r="L14" s="16"/>
      <c r="M14" s="215">
        <f>IF(M11="",0,SUM(M9,M12,M13))</f>
        <v>0</v>
      </c>
      <c r="N14" s="16"/>
      <c r="O14" s="215">
        <f>IF(O11="",0,SUM(O9,O12,O13))</f>
        <v>0</v>
      </c>
      <c r="Q14" s="107"/>
    </row>
    <row r="15" spans="2:17" x14ac:dyDescent="0.2">
      <c r="B15" s="327"/>
      <c r="C15" s="37"/>
      <c r="D15" s="35"/>
      <c r="E15" s="328"/>
      <c r="F15" s="35"/>
      <c r="G15" s="328"/>
      <c r="H15" s="35"/>
      <c r="I15" s="328"/>
      <c r="J15" s="35"/>
      <c r="K15" s="328"/>
      <c r="L15" s="35"/>
      <c r="M15" s="328"/>
      <c r="N15" s="35"/>
      <c r="O15" s="328"/>
    </row>
    <row r="16" spans="2:17" x14ac:dyDescent="0.2">
      <c r="B16" s="321" t="s">
        <v>363</v>
      </c>
      <c r="C16" s="28"/>
      <c r="D16" s="29"/>
      <c r="E16" s="322" t="str">
        <f>IF(D16="","",D16*$E$14)</f>
        <v/>
      </c>
      <c r="F16" s="29"/>
      <c r="G16" s="322" t="str">
        <f>IF(F16="","",F16*$G$14)</f>
        <v/>
      </c>
      <c r="H16" s="29"/>
      <c r="I16" s="322" t="str">
        <f>IF(H16="","",H16*$I$14)</f>
        <v/>
      </c>
      <c r="J16" s="29"/>
      <c r="K16" s="322" t="str">
        <f>IF(J16="","",J16*$K$14)</f>
        <v/>
      </c>
      <c r="L16" s="29"/>
      <c r="M16" s="322" t="str">
        <f>IF(L16="","",L16*$M$14)</f>
        <v/>
      </c>
      <c r="N16" s="29" t="s">
        <v>358</v>
      </c>
      <c r="O16" s="322" t="str">
        <f>IF(N16="","",N16*$O$14)</f>
        <v/>
      </c>
    </row>
    <row r="17" spans="2:15" x14ac:dyDescent="0.2">
      <c r="B17" s="325"/>
      <c r="C17" s="32"/>
      <c r="D17" s="33"/>
      <c r="E17" s="326" t="str">
        <f>IF(D17="","",D17*$E$14)</f>
        <v/>
      </c>
      <c r="F17" s="33"/>
      <c r="G17" s="326" t="str">
        <f>IF(F17="","",F17*$G$14)</f>
        <v/>
      </c>
      <c r="H17" s="33"/>
      <c r="I17" s="326" t="str">
        <f>IF(H17="","",H17*$I$14)</f>
        <v/>
      </c>
      <c r="J17" s="33"/>
      <c r="K17" s="326" t="str">
        <f>IF(J17="","",J17*$K$14)</f>
        <v/>
      </c>
      <c r="L17" s="33"/>
      <c r="M17" s="326" t="str">
        <f>IF(L17="","",L17*$M$14)</f>
        <v/>
      </c>
      <c r="N17" s="33" t="s">
        <v>358</v>
      </c>
      <c r="O17" s="326" t="str">
        <f>IF(N17="","",N17*$O$14)</f>
        <v/>
      </c>
    </row>
    <row r="18" spans="2:15" x14ac:dyDescent="0.2">
      <c r="B18" s="214" t="s">
        <v>364</v>
      </c>
      <c r="C18" s="15"/>
      <c r="D18" s="16"/>
      <c r="E18" s="215">
        <f>SUM(E14:E17)</f>
        <v>0</v>
      </c>
      <c r="F18" s="16"/>
      <c r="G18" s="215">
        <f>SUM(G14:G17)</f>
        <v>0</v>
      </c>
      <c r="H18" s="16"/>
      <c r="I18" s="215">
        <f>SUM(I14:I17)</f>
        <v>0</v>
      </c>
      <c r="J18" s="16"/>
      <c r="K18" s="215">
        <f>SUM(K14:K17)</f>
        <v>0</v>
      </c>
      <c r="L18" s="16"/>
      <c r="M18" s="215">
        <f>SUM(M14:M17)</f>
        <v>0</v>
      </c>
      <c r="N18" s="16"/>
      <c r="O18" s="215">
        <f>SUM(O14:O17)</f>
        <v>0</v>
      </c>
    </row>
    <row r="19" spans="2:15" x14ac:dyDescent="0.2">
      <c r="B19" s="327"/>
      <c r="C19" s="37"/>
      <c r="D19" s="35"/>
      <c r="E19" s="328"/>
      <c r="F19" s="35"/>
      <c r="G19" s="328"/>
      <c r="H19" s="35"/>
      <c r="I19" s="328"/>
      <c r="J19" s="35"/>
      <c r="K19" s="328"/>
      <c r="L19" s="35"/>
      <c r="M19" s="328"/>
      <c r="N19" s="35"/>
      <c r="O19" s="328"/>
    </row>
    <row r="20" spans="2:15" x14ac:dyDescent="0.2">
      <c r="B20" s="321" t="s">
        <v>365</v>
      </c>
      <c r="C20" s="38"/>
      <c r="D20" s="29"/>
      <c r="E20" s="322" t="str">
        <f t="shared" ref="E20:E25" si="0">IF(D20="","",D20*E$18)</f>
        <v/>
      </c>
      <c r="F20" s="29"/>
      <c r="G20" s="322" t="str">
        <f t="shared" ref="G20:G25" si="1">IF(F20="","",F20*G$18)</f>
        <v/>
      </c>
      <c r="H20" s="29"/>
      <c r="I20" s="322" t="str">
        <f>IF(H20="","",H20*I$18)</f>
        <v/>
      </c>
      <c r="J20" s="29"/>
      <c r="K20" s="322" t="str">
        <f t="shared" ref="K20:K25" si="2">IF(J20="","",J20*K$18)</f>
        <v/>
      </c>
      <c r="L20" s="29"/>
      <c r="M20" s="322" t="str">
        <f t="shared" ref="M20:M25" si="3">IF(L20="","",L20*M$18)</f>
        <v/>
      </c>
      <c r="N20" s="29" t="s">
        <v>358</v>
      </c>
      <c r="O20" s="322" t="str">
        <f t="shared" ref="O20:O25" si="4">IF(N20="","",N20*O$18)</f>
        <v/>
      </c>
    </row>
    <row r="21" spans="2:15" x14ac:dyDescent="0.2">
      <c r="B21" s="331" t="s">
        <v>366</v>
      </c>
      <c r="C21" s="39"/>
      <c r="D21" s="31"/>
      <c r="E21" s="324" t="str">
        <f t="shared" si="0"/>
        <v/>
      </c>
      <c r="F21" s="31"/>
      <c r="G21" s="324" t="str">
        <f t="shared" si="1"/>
        <v/>
      </c>
      <c r="H21" s="31"/>
      <c r="I21" s="324" t="str">
        <f t="shared" ref="I21:I25" si="5">IF(H21="","",H21*I$18)</f>
        <v/>
      </c>
      <c r="J21" s="31"/>
      <c r="K21" s="324" t="str">
        <f t="shared" si="2"/>
        <v/>
      </c>
      <c r="L21" s="31"/>
      <c r="M21" s="324" t="str">
        <f t="shared" si="3"/>
        <v/>
      </c>
      <c r="N21" s="31" t="s">
        <v>358</v>
      </c>
      <c r="O21" s="324" t="str">
        <f t="shared" si="4"/>
        <v/>
      </c>
    </row>
    <row r="22" spans="2:15" x14ac:dyDescent="0.2">
      <c r="B22" s="331" t="s">
        <v>367</v>
      </c>
      <c r="C22" s="40"/>
      <c r="D22" s="31"/>
      <c r="E22" s="324" t="str">
        <f t="shared" si="0"/>
        <v/>
      </c>
      <c r="F22" s="31"/>
      <c r="G22" s="324" t="str">
        <f t="shared" si="1"/>
        <v/>
      </c>
      <c r="H22" s="31"/>
      <c r="I22" s="324" t="str">
        <f t="shared" si="5"/>
        <v/>
      </c>
      <c r="J22" s="31"/>
      <c r="K22" s="324" t="str">
        <f t="shared" si="2"/>
        <v/>
      </c>
      <c r="L22" s="31"/>
      <c r="M22" s="324" t="str">
        <f t="shared" si="3"/>
        <v/>
      </c>
      <c r="N22" s="31" t="s">
        <v>358</v>
      </c>
      <c r="O22" s="324" t="str">
        <f t="shared" si="4"/>
        <v/>
      </c>
    </row>
    <row r="23" spans="2:15" x14ac:dyDescent="0.2">
      <c r="B23" s="331" t="s">
        <v>368</v>
      </c>
      <c r="C23" s="41"/>
      <c r="D23" s="31"/>
      <c r="E23" s="324" t="str">
        <f t="shared" si="0"/>
        <v/>
      </c>
      <c r="F23" s="31"/>
      <c r="G23" s="324" t="str">
        <f t="shared" si="1"/>
        <v/>
      </c>
      <c r="H23" s="31"/>
      <c r="I23" s="324" t="str">
        <f t="shared" si="5"/>
        <v/>
      </c>
      <c r="J23" s="31"/>
      <c r="K23" s="324" t="str">
        <f t="shared" si="2"/>
        <v/>
      </c>
      <c r="L23" s="31"/>
      <c r="M23" s="324" t="str">
        <f t="shared" si="3"/>
        <v/>
      </c>
      <c r="N23" s="31" t="s">
        <v>358</v>
      </c>
      <c r="O23" s="324" t="str">
        <f t="shared" si="4"/>
        <v/>
      </c>
    </row>
    <row r="24" spans="2:15" x14ac:dyDescent="0.2">
      <c r="B24" s="323"/>
      <c r="C24" s="41"/>
      <c r="D24" s="31"/>
      <c r="E24" s="324" t="str">
        <f t="shared" si="0"/>
        <v/>
      </c>
      <c r="F24" s="31"/>
      <c r="G24" s="324" t="str">
        <f t="shared" si="1"/>
        <v/>
      </c>
      <c r="H24" s="31"/>
      <c r="I24" s="324" t="str">
        <f t="shared" si="5"/>
        <v/>
      </c>
      <c r="J24" s="31"/>
      <c r="K24" s="324" t="str">
        <f t="shared" si="2"/>
        <v/>
      </c>
      <c r="L24" s="31"/>
      <c r="M24" s="324" t="str">
        <f t="shared" si="3"/>
        <v/>
      </c>
      <c r="N24" s="31"/>
      <c r="O24" s="324" t="str">
        <f t="shared" si="4"/>
        <v/>
      </c>
    </row>
    <row r="25" spans="2:15" x14ac:dyDescent="0.2">
      <c r="B25" s="325"/>
      <c r="C25" s="42"/>
      <c r="D25" s="33"/>
      <c r="E25" s="326" t="str">
        <f t="shared" si="0"/>
        <v/>
      </c>
      <c r="F25" s="33"/>
      <c r="G25" s="326" t="str">
        <f t="shared" si="1"/>
        <v/>
      </c>
      <c r="H25" s="33"/>
      <c r="I25" s="326" t="str">
        <f t="shared" si="5"/>
        <v/>
      </c>
      <c r="J25" s="33"/>
      <c r="K25" s="326" t="str">
        <f t="shared" si="2"/>
        <v/>
      </c>
      <c r="L25" s="33"/>
      <c r="M25" s="326" t="str">
        <f t="shared" si="3"/>
        <v/>
      </c>
      <c r="N25" s="33"/>
      <c r="O25" s="326" t="str">
        <f t="shared" si="4"/>
        <v/>
      </c>
    </row>
    <row r="26" spans="2:15" x14ac:dyDescent="0.2">
      <c r="B26" s="214" t="s">
        <v>369</v>
      </c>
      <c r="C26" s="15"/>
      <c r="D26" s="16"/>
      <c r="E26" s="215">
        <f>SUM(E20:E25,E18)</f>
        <v>0</v>
      </c>
      <c r="F26" s="16"/>
      <c r="G26" s="215">
        <f>SUM(G20:G25,G18)</f>
        <v>0</v>
      </c>
      <c r="H26" s="16"/>
      <c r="I26" s="215">
        <f>SUM(I20:I25,I18)</f>
        <v>0</v>
      </c>
      <c r="J26" s="16"/>
      <c r="K26" s="215">
        <f>SUM(K20:K25,K18)</f>
        <v>0</v>
      </c>
      <c r="L26" s="16"/>
      <c r="M26" s="215">
        <f>SUM(M20:M25,M18)</f>
        <v>0</v>
      </c>
      <c r="N26" s="16"/>
      <c r="O26" s="215">
        <f>SUM(O20:O25,O18)</f>
        <v>0</v>
      </c>
    </row>
    <row r="27" spans="2:15" x14ac:dyDescent="0.2">
      <c r="B27" s="327"/>
      <c r="C27" s="37"/>
      <c r="D27" s="35"/>
      <c r="E27" s="328"/>
      <c r="F27" s="35"/>
      <c r="G27" s="328"/>
      <c r="H27" s="35"/>
      <c r="I27" s="328"/>
      <c r="J27" s="35"/>
      <c r="K27" s="328"/>
      <c r="L27" s="35"/>
      <c r="M27" s="328"/>
      <c r="N27" s="35"/>
      <c r="O27" s="328"/>
    </row>
    <row r="28" spans="2:15" x14ac:dyDescent="0.2">
      <c r="B28" s="321" t="s">
        <v>370</v>
      </c>
      <c r="C28" s="43"/>
      <c r="D28" s="29"/>
      <c r="E28" s="322" t="str">
        <f t="shared" ref="E28:E37" si="6">IF(D28="","",D28*E$26)</f>
        <v/>
      </c>
      <c r="F28" s="29"/>
      <c r="G28" s="322" t="str">
        <f t="shared" ref="G28:G37" si="7">IF(F28="","",F28*G$26)</f>
        <v/>
      </c>
      <c r="H28" s="29"/>
      <c r="I28" s="322" t="str">
        <f t="shared" ref="I28:I37" si="8">IF(H28="","",H28*I$26)</f>
        <v/>
      </c>
      <c r="J28" s="29"/>
      <c r="K28" s="322" t="str">
        <f t="shared" ref="K28:K37" si="9">IF(J28="","",J28*K$26)</f>
        <v/>
      </c>
      <c r="L28" s="29"/>
      <c r="M28" s="322" t="str">
        <f t="shared" ref="M28:M37" si="10">IF(L28="","",L28*M$26)</f>
        <v/>
      </c>
      <c r="N28" s="29" t="s">
        <v>358</v>
      </c>
      <c r="O28" s="322" t="str">
        <f t="shared" ref="O28:O37" si="11">IF(N28="","",N28*O$26)</f>
        <v/>
      </c>
    </row>
    <row r="29" spans="2:15" x14ac:dyDescent="0.2">
      <c r="B29" s="331" t="s">
        <v>371</v>
      </c>
      <c r="C29" s="41"/>
      <c r="D29" s="31"/>
      <c r="E29" s="324" t="str">
        <f t="shared" si="6"/>
        <v/>
      </c>
      <c r="F29" s="31"/>
      <c r="G29" s="324" t="str">
        <f t="shared" si="7"/>
        <v/>
      </c>
      <c r="H29" s="31"/>
      <c r="I29" s="324" t="str">
        <f t="shared" si="8"/>
        <v/>
      </c>
      <c r="J29" s="31"/>
      <c r="K29" s="324" t="str">
        <f t="shared" si="9"/>
        <v/>
      </c>
      <c r="L29" s="31"/>
      <c r="M29" s="324" t="str">
        <f t="shared" si="10"/>
        <v/>
      </c>
      <c r="N29" s="31" t="s">
        <v>358</v>
      </c>
      <c r="O29" s="324" t="str">
        <f t="shared" si="11"/>
        <v/>
      </c>
    </row>
    <row r="30" spans="2:15" x14ac:dyDescent="0.2">
      <c r="B30" s="331" t="s">
        <v>372</v>
      </c>
      <c r="C30" s="41"/>
      <c r="D30" s="31"/>
      <c r="E30" s="324" t="str">
        <f t="shared" si="6"/>
        <v/>
      </c>
      <c r="F30" s="31"/>
      <c r="G30" s="324" t="str">
        <f t="shared" si="7"/>
        <v/>
      </c>
      <c r="H30" s="31"/>
      <c r="I30" s="324" t="str">
        <f t="shared" si="8"/>
        <v/>
      </c>
      <c r="J30" s="31"/>
      <c r="K30" s="324" t="str">
        <f t="shared" si="9"/>
        <v/>
      </c>
      <c r="L30" s="31"/>
      <c r="M30" s="324" t="str">
        <f t="shared" si="10"/>
        <v/>
      </c>
      <c r="N30" s="31" t="s">
        <v>358</v>
      </c>
      <c r="O30" s="324" t="str">
        <f t="shared" si="11"/>
        <v/>
      </c>
    </row>
    <row r="31" spans="2:15" x14ac:dyDescent="0.2">
      <c r="B31" s="331" t="s">
        <v>373</v>
      </c>
      <c r="C31" s="41"/>
      <c r="D31" s="31"/>
      <c r="E31" s="324" t="str">
        <f t="shared" si="6"/>
        <v/>
      </c>
      <c r="F31" s="31"/>
      <c r="G31" s="324" t="str">
        <f t="shared" si="7"/>
        <v/>
      </c>
      <c r="H31" s="31"/>
      <c r="I31" s="324" t="str">
        <f t="shared" si="8"/>
        <v/>
      </c>
      <c r="J31" s="31"/>
      <c r="K31" s="324" t="str">
        <f t="shared" si="9"/>
        <v/>
      </c>
      <c r="L31" s="31"/>
      <c r="M31" s="324" t="str">
        <f t="shared" si="10"/>
        <v/>
      </c>
      <c r="N31" s="31" t="s">
        <v>358</v>
      </c>
      <c r="O31" s="324" t="str">
        <f t="shared" si="11"/>
        <v/>
      </c>
    </row>
    <row r="32" spans="2:15" x14ac:dyDescent="0.2">
      <c r="B32" s="331" t="s">
        <v>374</v>
      </c>
      <c r="C32" s="41"/>
      <c r="D32" s="31"/>
      <c r="E32" s="324" t="str">
        <f t="shared" si="6"/>
        <v/>
      </c>
      <c r="F32" s="31"/>
      <c r="G32" s="324" t="str">
        <f t="shared" si="7"/>
        <v/>
      </c>
      <c r="H32" s="31"/>
      <c r="I32" s="324" t="str">
        <f t="shared" si="8"/>
        <v/>
      </c>
      <c r="J32" s="31"/>
      <c r="K32" s="324" t="str">
        <f t="shared" si="9"/>
        <v/>
      </c>
      <c r="L32" s="31"/>
      <c r="M32" s="324" t="str">
        <f t="shared" si="10"/>
        <v/>
      </c>
      <c r="N32" s="31" t="s">
        <v>358</v>
      </c>
      <c r="O32" s="324" t="str">
        <f t="shared" si="11"/>
        <v/>
      </c>
    </row>
    <row r="33" spans="2:15" x14ac:dyDescent="0.2">
      <c r="B33" s="331" t="s">
        <v>375</v>
      </c>
      <c r="C33" s="41"/>
      <c r="D33" s="31"/>
      <c r="E33" s="324" t="str">
        <f t="shared" si="6"/>
        <v/>
      </c>
      <c r="F33" s="31"/>
      <c r="G33" s="324" t="str">
        <f t="shared" si="7"/>
        <v/>
      </c>
      <c r="H33" s="31"/>
      <c r="I33" s="324" t="str">
        <f t="shared" si="8"/>
        <v/>
      </c>
      <c r="J33" s="31"/>
      <c r="K33" s="324" t="str">
        <f t="shared" si="9"/>
        <v/>
      </c>
      <c r="L33" s="31"/>
      <c r="M33" s="324" t="str">
        <f t="shared" si="10"/>
        <v/>
      </c>
      <c r="N33" s="31" t="s">
        <v>358</v>
      </c>
      <c r="O33" s="324" t="str">
        <f t="shared" si="11"/>
        <v/>
      </c>
    </row>
    <row r="34" spans="2:15" x14ac:dyDescent="0.2">
      <c r="B34" s="331" t="s">
        <v>376</v>
      </c>
      <c r="C34" s="41"/>
      <c r="D34" s="31"/>
      <c r="E34" s="324" t="str">
        <f t="shared" si="6"/>
        <v/>
      </c>
      <c r="F34" s="31"/>
      <c r="G34" s="324" t="str">
        <f t="shared" si="7"/>
        <v/>
      </c>
      <c r="H34" s="31"/>
      <c r="I34" s="324" t="str">
        <f t="shared" si="8"/>
        <v/>
      </c>
      <c r="J34" s="31"/>
      <c r="K34" s="324" t="str">
        <f t="shared" si="9"/>
        <v/>
      </c>
      <c r="L34" s="31"/>
      <c r="M34" s="324" t="str">
        <f t="shared" si="10"/>
        <v/>
      </c>
      <c r="N34" s="31" t="s">
        <v>358</v>
      </c>
      <c r="O34" s="324" t="str">
        <f t="shared" si="11"/>
        <v/>
      </c>
    </row>
    <row r="35" spans="2:15" x14ac:dyDescent="0.2">
      <c r="B35" s="331" t="s">
        <v>377</v>
      </c>
      <c r="C35" s="41"/>
      <c r="D35" s="31"/>
      <c r="E35" s="324" t="str">
        <f t="shared" si="6"/>
        <v/>
      </c>
      <c r="F35" s="31"/>
      <c r="G35" s="324" t="str">
        <f t="shared" si="7"/>
        <v/>
      </c>
      <c r="H35" s="31"/>
      <c r="I35" s="324" t="str">
        <f t="shared" si="8"/>
        <v/>
      </c>
      <c r="J35" s="31"/>
      <c r="K35" s="324" t="str">
        <f t="shared" si="9"/>
        <v/>
      </c>
      <c r="L35" s="31"/>
      <c r="M35" s="324" t="str">
        <f t="shared" si="10"/>
        <v/>
      </c>
      <c r="N35" s="31" t="s">
        <v>358</v>
      </c>
      <c r="O35" s="324" t="str">
        <f t="shared" si="11"/>
        <v/>
      </c>
    </row>
    <row r="36" spans="2:15" x14ac:dyDescent="0.2">
      <c r="B36" s="323"/>
      <c r="C36" s="41"/>
      <c r="D36" s="31"/>
      <c r="E36" s="324" t="str">
        <f t="shared" si="6"/>
        <v/>
      </c>
      <c r="F36" s="31"/>
      <c r="G36" s="324" t="str">
        <f t="shared" si="7"/>
        <v/>
      </c>
      <c r="H36" s="31"/>
      <c r="I36" s="324" t="str">
        <f t="shared" si="8"/>
        <v/>
      </c>
      <c r="J36" s="31"/>
      <c r="K36" s="324" t="str">
        <f t="shared" si="9"/>
        <v/>
      </c>
      <c r="L36" s="31"/>
      <c r="M36" s="324" t="str">
        <f t="shared" si="10"/>
        <v/>
      </c>
      <c r="N36" s="31"/>
      <c r="O36" s="324" t="str">
        <f t="shared" si="11"/>
        <v/>
      </c>
    </row>
    <row r="37" spans="2:15" x14ac:dyDescent="0.2">
      <c r="B37" s="325"/>
      <c r="C37" s="12"/>
      <c r="D37" s="33"/>
      <c r="E37" s="326" t="str">
        <f t="shared" si="6"/>
        <v/>
      </c>
      <c r="F37" s="33"/>
      <c r="G37" s="326" t="str">
        <f t="shared" si="7"/>
        <v/>
      </c>
      <c r="H37" s="33"/>
      <c r="I37" s="326" t="str">
        <f t="shared" si="8"/>
        <v/>
      </c>
      <c r="J37" s="33"/>
      <c r="K37" s="326" t="str">
        <f t="shared" si="9"/>
        <v/>
      </c>
      <c r="L37" s="33"/>
      <c r="M37" s="326" t="str">
        <f t="shared" si="10"/>
        <v/>
      </c>
      <c r="N37" s="33"/>
      <c r="O37" s="326" t="str">
        <f t="shared" si="11"/>
        <v/>
      </c>
    </row>
    <row r="38" spans="2:15" x14ac:dyDescent="0.2">
      <c r="B38" s="214" t="s">
        <v>378</v>
      </c>
      <c r="C38" s="15"/>
      <c r="D38" s="16"/>
      <c r="E38" s="215">
        <f>SUM(E28:E37)</f>
        <v>0</v>
      </c>
      <c r="F38" s="16"/>
      <c r="G38" s="215">
        <f>SUM(G28:G37)</f>
        <v>0</v>
      </c>
      <c r="H38" s="16"/>
      <c r="I38" s="215">
        <f>SUM(I28:I37)</f>
        <v>0</v>
      </c>
      <c r="J38" s="16"/>
      <c r="K38" s="215">
        <f>SUM(K28:K37)</f>
        <v>0</v>
      </c>
      <c r="L38" s="16"/>
      <c r="M38" s="215">
        <f>SUM(M28:M37)</f>
        <v>0</v>
      </c>
      <c r="N38" s="16"/>
      <c r="O38" s="215">
        <f>SUM(O28:O37)</f>
        <v>0</v>
      </c>
    </row>
    <row r="39" spans="2:15" x14ac:dyDescent="0.2">
      <c r="B39" s="327"/>
      <c r="C39" s="37"/>
      <c r="D39" s="35"/>
      <c r="E39" s="328"/>
      <c r="F39" s="35"/>
      <c r="G39" s="328"/>
      <c r="H39" s="35"/>
      <c r="I39" s="328"/>
      <c r="J39" s="35"/>
      <c r="K39" s="328"/>
      <c r="L39" s="35"/>
      <c r="M39" s="328"/>
      <c r="N39" s="35"/>
      <c r="O39" s="328"/>
    </row>
    <row r="40" spans="2:15" x14ac:dyDescent="0.2">
      <c r="B40" s="332" t="s">
        <v>379</v>
      </c>
      <c r="C40" s="44"/>
      <c r="D40" s="45"/>
      <c r="E40" s="333" t="str">
        <f>IF(D40="","",D40*($E$26+E38))</f>
        <v/>
      </c>
      <c r="F40" s="45"/>
      <c r="G40" s="333" t="str">
        <f>IF(F40="","",F40*($G$26+G38))</f>
        <v/>
      </c>
      <c r="H40" s="45"/>
      <c r="I40" s="333" t="str">
        <f>IF(H40="","",H40*($I$26+I38))</f>
        <v/>
      </c>
      <c r="J40" s="45"/>
      <c r="K40" s="333" t="str">
        <f>IF(J40="","",J40*($K$26+K38))</f>
        <v/>
      </c>
      <c r="L40" s="45"/>
      <c r="M40" s="333" t="str">
        <f>IF(L40="","",L40*($M$26+M38))</f>
        <v/>
      </c>
      <c r="N40" s="45" t="s">
        <v>358</v>
      </c>
      <c r="O40" s="333" t="str">
        <f>IF(N40="","",N40*($O$26+O38))</f>
        <v/>
      </c>
    </row>
    <row r="41" spans="2:15" x14ac:dyDescent="0.2">
      <c r="B41" s="334"/>
      <c r="C41" s="46"/>
      <c r="D41" s="47"/>
      <c r="E41" s="335"/>
      <c r="F41" s="47"/>
      <c r="G41" s="335"/>
      <c r="H41" s="47"/>
      <c r="I41" s="335"/>
      <c r="J41" s="47"/>
      <c r="K41" s="335"/>
      <c r="L41" s="47"/>
      <c r="M41" s="335"/>
      <c r="N41" s="47"/>
      <c r="O41" s="335"/>
    </row>
    <row r="42" spans="2:15" ht="15.75" customHeight="1" thickBot="1" x14ac:dyDescent="0.25">
      <c r="B42" s="216" t="s">
        <v>380</v>
      </c>
      <c r="C42" s="17"/>
      <c r="D42" s="540" t="str">
        <f>IF(E4="","",IF(SUM(D5:D41)=0,E4,SUM(E40,E38,E26)))</f>
        <v/>
      </c>
      <c r="E42" s="541"/>
      <c r="F42" s="542" t="str">
        <f>IF(G4="","",SUM(G40,G38,G26))</f>
        <v/>
      </c>
      <c r="G42" s="541"/>
      <c r="H42" s="542" t="str">
        <f>IF(I4="","",SUM(I40,I38,I26))</f>
        <v/>
      </c>
      <c r="I42" s="541"/>
      <c r="J42" s="542" t="str">
        <f>IF(K4="","",SUM(K40,K38,K26))</f>
        <v/>
      </c>
      <c r="K42" s="541"/>
      <c r="L42" s="542" t="str">
        <f>IF(M4="","",SUM(M40,M38,M26))</f>
        <v/>
      </c>
      <c r="M42" s="541"/>
      <c r="N42" s="542" t="str">
        <f>IF(O4="","",SUM(O40,O38,O26))</f>
        <v/>
      </c>
      <c r="O42" s="541"/>
    </row>
    <row r="43" spans="2:15" x14ac:dyDescent="0.2">
      <c r="D43" s="336"/>
    </row>
    <row r="45" spans="2:15" ht="12.75" thickBot="1" x14ac:dyDescent="0.25"/>
    <row r="46" spans="2:15" ht="24.75" thickBot="1" x14ac:dyDescent="0.25">
      <c r="B46" s="239" t="s">
        <v>381</v>
      </c>
      <c r="C46" s="240" t="s">
        <v>382</v>
      </c>
      <c r="D46" s="241" t="s">
        <v>383</v>
      </c>
      <c r="F46" s="337" t="s">
        <v>384</v>
      </c>
    </row>
    <row r="47" spans="2:15" x14ac:dyDescent="0.2">
      <c r="B47" s="242" t="str">
        <f>IF(D2="","",D2)</f>
        <v>Productieve uren
 Lngrp 1 - 4 dienstjr</v>
      </c>
      <c r="C47" s="243">
        <f>1-SUM(C48:C51)</f>
        <v>1</v>
      </c>
      <c r="D47" s="245" t="str">
        <f>D42</f>
        <v/>
      </c>
      <c r="F47" s="1" t="str">
        <f ca="1">IF(Schoonmaaknormen!$CB$303=0,"",Schoonmaaknormen!$CB$303*Uurtarieven!C47)</f>
        <v/>
      </c>
    </row>
    <row r="48" spans="2:15" x14ac:dyDescent="0.2">
      <c r="B48" s="246" t="str">
        <f>IF(F2="","",F2)</f>
        <v>Meewerkend toezicht</v>
      </c>
      <c r="C48" s="338">
        <v>0</v>
      </c>
      <c r="D48" s="249" t="str">
        <f>F42</f>
        <v/>
      </c>
      <c r="F48" s="2" t="str">
        <f ca="1">IF(Schoonmaaknormen!$CB$303=0,"",Schoonmaaknormen!$CB$303*Uurtarieven!C48)</f>
        <v/>
      </c>
    </row>
    <row r="49" spans="2:6" x14ac:dyDescent="0.2">
      <c r="B49" s="246" t="str">
        <f>IF(H2="","",H2)</f>
        <v>Specialist t.b.v. Vloeronderhoud</v>
      </c>
      <c r="C49" s="339">
        <v>0</v>
      </c>
      <c r="D49" s="249" t="str">
        <f>H42</f>
        <v/>
      </c>
      <c r="F49" s="2" t="str">
        <f ca="1">IF(Schoonmaaknormen!$CB$303=0,"",Schoonmaaknormen!$CB$303*Uurtarieven!C49)</f>
        <v/>
      </c>
    </row>
    <row r="50" spans="2:6" x14ac:dyDescent="0.2">
      <c r="B50" s="246" t="str">
        <f>IF(J2="","",J2)</f>
        <v/>
      </c>
      <c r="C50" s="339">
        <v>0</v>
      </c>
      <c r="D50" s="249" t="str">
        <f>J42</f>
        <v/>
      </c>
      <c r="F50" s="2" t="str">
        <f ca="1">IF(Schoonmaaknormen!$CB$303=0,"",Schoonmaaknormen!$CB$303*Uurtarieven!C50)</f>
        <v/>
      </c>
    </row>
    <row r="51" spans="2:6" ht="12.75" thickBot="1" x14ac:dyDescent="0.25">
      <c r="B51" s="246" t="str">
        <f>IF(L2="","",L2)</f>
        <v/>
      </c>
      <c r="C51" s="339">
        <v>0</v>
      </c>
      <c r="D51" s="249" t="str">
        <f>L42</f>
        <v/>
      </c>
      <c r="F51" s="2" t="str">
        <f ca="1">IF(Schoonmaaknormen!$CB$303=0,"",Schoonmaaknormen!$CB$303*Uurtarieven!C51)</f>
        <v/>
      </c>
    </row>
    <row r="52" spans="2:6" ht="12.75" thickBot="1" x14ac:dyDescent="0.25">
      <c r="B52" s="195" t="s">
        <v>385</v>
      </c>
      <c r="C52" s="250">
        <v>1</v>
      </c>
      <c r="D52" s="251">
        <f>SUMPRODUCT(C47:C51,D47:D51)</f>
        <v>0</v>
      </c>
      <c r="F52" s="3" t="str">
        <f ca="1">IF(Schoonmaaknormen!$CB$303=0,"",SUM(F47:F51))</f>
        <v/>
      </c>
    </row>
  </sheetData>
  <sheetProtection algorithmName="SHA-512" hashValue="80rcX4gJxmL+WY3s+JlIrgMCeoqn7FqAW+CxpQnqc/786r2m4CWwYi7HlqeyZpX+qdmv/MknfXnoxB6iAMle3g==" saltValue="gJcaIdJZwwHkz6W9daK3Pw==" spinCount="100000" sheet="1" objects="1" scenarios="1"/>
  <protectedRanges>
    <protectedRange sqref="D6 B25 B37 D40 N40 F6 F40 L6 L40 D28:D37 N28:N37 F28:F37 L28:L37 J40 H28:H37 J28:J37 H6 H40 J6" name="Bereik2"/>
    <protectedRange sqref="E4 D6:D8 O4 N6:N8 E11 D16:D17 N16:N17 G4 F6:F8 F16:F17 M4 L6:L8 L16:L17 D12:D13 N12:N13 F12:F13 L12:L13 D20:D25 N20:N25 F20:F25 L20:L25 G11 M11 O11 H12:H13 J12:J13 H20:H25 J20:J25 I11 K11 I4 H6:H8 H16:H17 K4 J6:J8 J16:J17" name="Bereik1"/>
  </protectedRanges>
  <mergeCells count="16">
    <mergeCell ref="B2:C2"/>
    <mergeCell ref="D2:E2"/>
    <mergeCell ref="F2:G2"/>
    <mergeCell ref="H2:I2"/>
    <mergeCell ref="J2:K2"/>
    <mergeCell ref="N2:O2"/>
    <mergeCell ref="D3:E3"/>
    <mergeCell ref="L3:M3"/>
    <mergeCell ref="D42:E42"/>
    <mergeCell ref="F42:G42"/>
    <mergeCell ref="J42:K42"/>
    <mergeCell ref="L42:M42"/>
    <mergeCell ref="N42:O42"/>
    <mergeCell ref="L2:M2"/>
    <mergeCell ref="J3:K3"/>
    <mergeCell ref="H42:I42"/>
  </mergeCells>
  <conditionalFormatting sqref="E20:E24 E28:E36">
    <cfRule type="notContainsBlanks" dxfId="21" priority="36">
      <formula>LEN(TRIM(E20))&gt;0</formula>
    </cfRule>
  </conditionalFormatting>
  <conditionalFormatting sqref="O20:O24 O28:O36">
    <cfRule type="notContainsBlanks" dxfId="20" priority="35">
      <formula>LEN(TRIM(O20))&gt;0</formula>
    </cfRule>
  </conditionalFormatting>
  <conditionalFormatting sqref="M20:M24 M28:M36 G20:G24 G28:G36 K20:K24 K28:K36 I20:I24 I28:I36">
    <cfRule type="notContainsBlanks" dxfId="19" priority="33">
      <formula>LEN(TRIM(G20))&gt;0</formula>
    </cfRule>
  </conditionalFormatting>
  <conditionalFormatting sqref="E25">
    <cfRule type="notContainsBlanks" dxfId="18" priority="24">
      <formula>LEN(TRIM(E25))&gt;0</formula>
    </cfRule>
  </conditionalFormatting>
  <conditionalFormatting sqref="O25">
    <cfRule type="notContainsBlanks" dxfId="17" priority="23">
      <formula>LEN(TRIM(O25))&gt;0</formula>
    </cfRule>
  </conditionalFormatting>
  <conditionalFormatting sqref="M25 G25 K25 I25">
    <cfRule type="notContainsBlanks" dxfId="16" priority="21">
      <formula>LEN(TRIM(G25))&gt;0</formula>
    </cfRule>
  </conditionalFormatting>
  <conditionalFormatting sqref="E37">
    <cfRule type="notContainsBlanks" dxfId="15" priority="19">
      <formula>LEN(TRIM(E37))&gt;0</formula>
    </cfRule>
  </conditionalFormatting>
  <conditionalFormatting sqref="O37">
    <cfRule type="notContainsBlanks" dxfId="14" priority="18">
      <formula>LEN(TRIM(O37))&gt;0</formula>
    </cfRule>
  </conditionalFormatting>
  <conditionalFormatting sqref="M37 G37 K37 I37">
    <cfRule type="notContainsBlanks" dxfId="13" priority="16">
      <formula>LEN(TRIM(G37))&gt;0</formula>
    </cfRule>
  </conditionalFormatting>
  <conditionalFormatting sqref="J2:M2">
    <cfRule type="containsBlanks" dxfId="12" priority="1">
      <formula>LEN(TRIM(J2))=0</formula>
    </cfRule>
  </conditionalFormatting>
  <printOptions horizontalCentered="1" verticalCentered="1"/>
  <pageMargins left="0.70866141732283472" right="0.70866141732283472" top="0.74803149606299213" bottom="0.74803149606299213" header="0.31496062992125984" footer="0.31496062992125984"/>
  <pageSetup paperSize="9" scale="67" fitToHeight="0" orientation="landscape" horizontalDpi="0" verticalDpi="0" r:id="rId1"/>
  <headerFooter>
    <oddHeader>&amp;L&amp;9&amp;K04-048Uurtarieven&amp;R&amp;G</oddHeader>
    <oddFooter>&amp;L&amp;9&amp;K04-049Offerteaanvraag EU Openbare aanbesteding Schoonmaakonderhoud&amp;C&amp;9&amp;K04-049 8 april 2022&amp;R&amp;9&amp;K04-049Blad &amp;P van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FE7A8-BE7D-45D1-A531-D47FE631975B}">
  <sheetPr codeName="Blad5">
    <tabColor theme="4" tint="0.39997558519241921"/>
    <pageSetUpPr fitToPage="1"/>
  </sheetPr>
  <dimension ref="A1:CC447"/>
  <sheetViews>
    <sheetView showGridLines="0" showRowColHeaders="0" zoomScaleNormal="100" workbookViewId="0">
      <selection activeCell="P105" sqref="P105"/>
    </sheetView>
  </sheetViews>
  <sheetFormatPr defaultColWidth="9.140625" defaultRowHeight="12" x14ac:dyDescent="0.2"/>
  <cols>
    <col min="1" max="1" width="9.140625" style="172"/>
    <col min="2" max="2" width="10.85546875" style="9" customWidth="1"/>
    <col min="3" max="3" width="11.7109375" style="9" customWidth="1"/>
    <col min="4" max="9" width="10.7109375" style="9" customWidth="1"/>
    <col min="10" max="10" width="10.7109375" style="9" hidden="1" customWidth="1"/>
    <col min="11" max="11" width="10.7109375" style="9" customWidth="1"/>
    <col min="12" max="12" width="12.7109375" style="9" customWidth="1"/>
    <col min="13" max="13" width="9.42578125" style="172" bestFit="1" customWidth="1"/>
    <col min="14" max="53" width="9.140625" style="9" customWidth="1"/>
    <col min="54" max="54" width="10.7109375" style="318" customWidth="1"/>
    <col min="55" max="55" width="9.28515625" style="318" bestFit="1" customWidth="1"/>
    <col min="56" max="56" width="12.140625" style="9" bestFit="1" customWidth="1"/>
    <col min="57" max="57" width="13.85546875" style="9" bestFit="1" customWidth="1"/>
    <col min="58" max="59" width="12.140625" style="9" bestFit="1" customWidth="1"/>
    <col min="60" max="60" width="11" style="9" bestFit="1" customWidth="1"/>
    <col min="61" max="61" width="13.85546875" style="9" bestFit="1" customWidth="1"/>
    <col min="62" max="62" width="10" style="9" hidden="1" customWidth="1"/>
    <col min="63" max="63" width="13.85546875" style="9" bestFit="1" customWidth="1"/>
    <col min="64" max="69" width="9.140625" style="9"/>
    <col min="70" max="70" width="10.7109375" style="318" customWidth="1"/>
    <col min="71" max="71" width="9.28515625" style="318" bestFit="1" customWidth="1"/>
    <col min="72" max="72" width="11.28515625" style="9" bestFit="1" customWidth="1"/>
    <col min="73" max="73" width="12.5703125" style="9" bestFit="1" customWidth="1"/>
    <col min="74" max="76" width="10.28515625" style="9" bestFit="1" customWidth="1"/>
    <col min="77" max="77" width="10.140625" style="9" customWidth="1"/>
    <col min="78" max="78" width="10.140625" style="9" hidden="1" customWidth="1"/>
    <col min="79" max="79" width="11.28515625" style="9" bestFit="1" customWidth="1"/>
    <col min="80" max="80" width="12.5703125" style="9" bestFit="1" customWidth="1"/>
    <col min="81" max="81" width="9.28515625" style="9" bestFit="1" customWidth="1"/>
    <col min="82" max="16384" width="9.140625" style="9"/>
  </cols>
  <sheetData>
    <row r="1" spans="1:81" ht="12.75" thickBot="1" x14ac:dyDescent="0.25">
      <c r="BB1" s="252" t="s">
        <v>330</v>
      </c>
      <c r="BC1" s="253"/>
      <c r="BD1" s="254"/>
      <c r="BE1" s="254"/>
      <c r="BF1" s="254"/>
      <c r="BG1" s="254"/>
      <c r="BH1" s="254"/>
      <c r="BI1" s="254"/>
      <c r="BJ1" s="254"/>
      <c r="BK1" s="255"/>
      <c r="BR1" s="252" t="s">
        <v>331</v>
      </c>
      <c r="BS1" s="253"/>
      <c r="BT1" s="254"/>
      <c r="BU1" s="254"/>
      <c r="BV1" s="254"/>
      <c r="BW1" s="254"/>
      <c r="BX1" s="254"/>
      <c r="BY1" s="254"/>
      <c r="BZ1" s="254"/>
      <c r="CA1" s="254"/>
      <c r="CB1" s="255"/>
    </row>
    <row r="2" spans="1:81" ht="87" customHeight="1" thickBot="1" x14ac:dyDescent="0.3">
      <c r="B2" s="465" t="s">
        <v>0</v>
      </c>
      <c r="C2" s="174" t="s">
        <v>2</v>
      </c>
      <c r="D2" s="466" t="str" cm="1">
        <f t="array" ref="D2:I2">TRANSPOSE(_xlfn.SORTBY(_xlfn._xlws.FILTER(_xlfn.UNIQUE(Inventarisatie[Categorie]),_xlfn.UNIQUE(Inventarisatie[Categorie])&lt;&gt;""),Locatieoverzicht!BD1:BD6))</f>
        <v>Boxenruimte</v>
      </c>
      <c r="E2" s="467" t="str">
        <v>Kantoorruimte</v>
      </c>
      <c r="F2" s="467" t="str">
        <v>Representatief</v>
      </c>
      <c r="G2" s="467" t="str">
        <v>Restauratief</v>
      </c>
      <c r="H2" s="467" t="str">
        <v>Sanitaire ruimte</v>
      </c>
      <c r="I2" s="468" t="str">
        <v>Verkeersruimte</v>
      </c>
      <c r="J2" s="177"/>
      <c r="K2" s="178" t="s">
        <v>329</v>
      </c>
      <c r="L2" s="179" t="s">
        <v>332</v>
      </c>
      <c r="BB2" s="256" t="s">
        <v>0</v>
      </c>
      <c r="BC2" s="257" t="s">
        <v>2</v>
      </c>
      <c r="BD2" s="258" t="str" cm="1">
        <f t="array" ref="BD2:BI2">TRANSPOSE(_xlfn.SORTBY(_xlfn._xlws.FILTER(_xlfn.UNIQUE(Inventarisatie[Categorie]),_xlfn.UNIQUE(Inventarisatie[Categorie])&lt;&gt;""),Locatieoverzicht!BD1:BD6))</f>
        <v>Boxenruimte</v>
      </c>
      <c r="BE2" s="259" t="str">
        <v>Kantoorruimte</v>
      </c>
      <c r="BF2" s="259" t="str">
        <v>Representatief</v>
      </c>
      <c r="BG2" s="259" t="str">
        <v>Restauratief</v>
      </c>
      <c r="BH2" s="259" t="str">
        <v>Sanitaire ruimte</v>
      </c>
      <c r="BI2" s="260" t="str">
        <v>Verkeersruimte</v>
      </c>
      <c r="BJ2" s="261"/>
      <c r="BK2" s="262" t="s">
        <v>313</v>
      </c>
      <c r="BR2" s="256" t="s">
        <v>0</v>
      </c>
      <c r="BS2" s="257" t="s">
        <v>2</v>
      </c>
      <c r="BT2" s="258" t="str" cm="1">
        <f t="array" ref="BT2:BY2">TRANSPOSE(_xlfn.SORTBY(_xlfn._xlws.FILTER(_xlfn.UNIQUE(Inventarisatie[Categorie]),_xlfn.UNIQUE(Inventarisatie[Categorie])&lt;&gt;""),Locatieoverzicht!BD1:BD6))</f>
        <v>Boxenruimte</v>
      </c>
      <c r="BU2" s="259" t="str">
        <v>Kantoorruimte</v>
      </c>
      <c r="BV2" s="259" t="str">
        <v>Representatief</v>
      </c>
      <c r="BW2" s="259" t="str">
        <v>Restauratief</v>
      </c>
      <c r="BX2" s="259" t="str">
        <v>Sanitaire ruimte</v>
      </c>
      <c r="BY2" s="260" t="str">
        <v>Verkeersruimte</v>
      </c>
      <c r="BZ2" s="260"/>
      <c r="CA2" s="261"/>
      <c r="CB2" s="262" t="s">
        <v>313</v>
      </c>
    </row>
    <row r="3" spans="1:81" ht="15" customHeight="1" x14ac:dyDescent="0.2">
      <c r="A3" s="172">
        <f ca="1">Ruimtestaat!A3</f>
        <v>1</v>
      </c>
      <c r="B3" s="570" t="str">
        <f>BB3</f>
        <v>ALK-ARS</v>
      </c>
      <c r="C3" s="263">
        <v>255</v>
      </c>
      <c r="D3" s="264"/>
      <c r="E3" s="182"/>
      <c r="F3" s="182"/>
      <c r="G3" s="182"/>
      <c r="H3" s="182"/>
      <c r="I3" s="184"/>
      <c r="J3" s="184"/>
      <c r="K3" s="563"/>
      <c r="L3" s="565" t="str" cm="1">
        <f t="array" aca="1" ref="L3" ca="1">_xlfn.IFS(A3=2,"",COUNTBLANK(D3:J8)=COUNTIF(Ruimtestaat!D3:J8,"&lt;=0"),BK3/CB3,TRUE,"")</f>
        <v/>
      </c>
      <c r="M3" s="172" t="b">
        <f>IF(_xlfn.XLOOKUP(BB3,Tabel2[Locatiecode],Tabel2[Type locatie],"",0)="vaccin",TRUE,FALSE)</f>
        <v>0</v>
      </c>
      <c r="BB3" s="265" t="str">
        <f>IF(Ruimtestaat!BC3="","",Ruimtestaat!BC3)</f>
        <v>ALK-ARS</v>
      </c>
      <c r="BC3" s="266">
        <f>C3</f>
        <v>255</v>
      </c>
      <c r="BD3" s="267">
        <f ca="1">Ruimtestaat!D3*$BC3</f>
        <v>11398.5</v>
      </c>
      <c r="BE3" s="268">
        <f ca="1">Ruimtestaat!E3*$BC3</f>
        <v>15784.5</v>
      </c>
      <c r="BF3" s="268">
        <f ca="1">Ruimtestaat!F3*$BC3</f>
        <v>30115.5</v>
      </c>
      <c r="BG3" s="268">
        <f ca="1">Ruimtestaat!G3*$BC3</f>
        <v>5125.5</v>
      </c>
      <c r="BH3" s="268">
        <f ca="1">Ruimtestaat!H3*$BC3</f>
        <v>535.5</v>
      </c>
      <c r="BI3" s="269">
        <f ca="1">Ruimtestaat!I3*$BC3</f>
        <v>19915.5</v>
      </c>
      <c r="BJ3" s="270">
        <f ca="1">Ruimtestaat!J3*$BC3</f>
        <v>0</v>
      </c>
      <c r="BK3" s="565">
        <f ca="1">SUM(BD3:BJ8)</f>
        <v>82875</v>
      </c>
      <c r="BR3" s="265" t="str">
        <f>IF(Ruimtestaat!BC3="","",Ruimtestaat!BC3)</f>
        <v>ALK-ARS</v>
      </c>
      <c r="BS3" s="266">
        <f>C3</f>
        <v>255</v>
      </c>
      <c r="BT3" s="267">
        <f ca="1">IF(BD3&gt;0,IF(ISNUMBER(Schoonmaaknormen!D3),Schoonmaaknormen!BD3/Schoonmaaknormen!D3,0),"")</f>
        <v>0</v>
      </c>
      <c r="BU3" s="268">
        <f ca="1">IF(BE3&gt;0,IF(ISNUMBER(Schoonmaaknormen!E3),Schoonmaaknormen!BE3/Schoonmaaknormen!E3,0),"")</f>
        <v>0</v>
      </c>
      <c r="BV3" s="268">
        <f ca="1">IF(BF3&gt;0,IF(ISNUMBER(Schoonmaaknormen!F3),Schoonmaaknormen!BF3/Schoonmaaknormen!F3,0),"")</f>
        <v>0</v>
      </c>
      <c r="BW3" s="268">
        <f ca="1">IF(BG3&gt;0,IF(ISNUMBER(Schoonmaaknormen!G3),Schoonmaaknormen!BG3/Schoonmaaknormen!G3,0),"")</f>
        <v>0</v>
      </c>
      <c r="BX3" s="268">
        <f ca="1">IF(BH3&gt;0,IF(ISNUMBER(Schoonmaaknormen!H3),Schoonmaaknormen!BH3/Schoonmaaknormen!H3,0),"")</f>
        <v>0</v>
      </c>
      <c r="BY3" s="268">
        <f ca="1">IF(BI3&gt;0,IF(ISNUMBER(Schoonmaaknormen!I3),Schoonmaaknormen!BI3/Schoonmaaknormen!I3,0),"")</f>
        <v>0</v>
      </c>
      <c r="BZ3" s="268" t="str">
        <f ca="1">IF(BJ3&gt;0,IF(ISNUMBER(Schoonmaaknormen!J3),Schoonmaaknormen!BJ3/Schoonmaaknormen!J3,0),"")</f>
        <v/>
      </c>
      <c r="CA3" s="566" t="str" cm="1">
        <f t="array" ref="CA3">IF(ISNUMBER(K3),IF(SUM(BT3:BZ8)/LARGE(_xlfn._xlws.FILTER(Ruimtestaat!BD:BD,Ruimtestaat!BC:BC=BR3),1)&lt;K3,K3*LARGE(_xlfn._xlws.FILTER(Ruimtestaat!BD:BD,Ruimtestaat!BC:BC=BR3),1)-SUM(BT3:BZ8),0),"")</f>
        <v/>
      </c>
      <c r="CB3" s="565">
        <f ca="1">SUM(BT3:CA8)</f>
        <v>0</v>
      </c>
      <c r="CC3" s="9" cm="1">
        <f t="array" aca="1" ref="CC3" ca="1">LARGE(_xlfn._xlws.FILTER(Ruimtestaat!BD:BD,Ruimtestaat!BC:BC=BR3),1)</f>
        <v>255</v>
      </c>
    </row>
    <row r="4" spans="1:81" ht="0.2" customHeight="1" x14ac:dyDescent="0.2">
      <c r="A4" s="172">
        <f ca="1">Ruimtestaat!A4</f>
        <v>0</v>
      </c>
      <c r="B4" s="568"/>
      <c r="C4" s="11">
        <v>204</v>
      </c>
      <c r="D4" s="271"/>
      <c r="E4" s="191"/>
      <c r="F4" s="191"/>
      <c r="G4" s="191"/>
      <c r="H4" s="191"/>
      <c r="I4" s="193"/>
      <c r="J4" s="193"/>
      <c r="K4" s="564"/>
      <c r="L4" s="552"/>
      <c r="M4" s="172" t="b">
        <f>IF(_xlfn.XLOOKUP(BB4,Tabel2[Locatiecode],Tabel2[Type locatie],"",0)="vaccin",TRUE,FALSE)</f>
        <v>0</v>
      </c>
      <c r="BB4" s="272" t="str">
        <f>IF(Ruimtestaat!BC4="","",Ruimtestaat!BC4)</f>
        <v>ALK-ARS</v>
      </c>
      <c r="BC4" s="273">
        <f t="shared" ref="BC4:BC67" si="0">C4</f>
        <v>204</v>
      </c>
      <c r="BD4" s="274">
        <f ca="1">Ruimtestaat!D4*$BC4</f>
        <v>0</v>
      </c>
      <c r="BE4" s="275">
        <f ca="1">Ruimtestaat!E4*$BC4</f>
        <v>0</v>
      </c>
      <c r="BF4" s="275">
        <f ca="1">Ruimtestaat!F4*$BC4</f>
        <v>0</v>
      </c>
      <c r="BG4" s="275">
        <f ca="1">Ruimtestaat!G4*$BC4</f>
        <v>0</v>
      </c>
      <c r="BH4" s="275">
        <f ca="1">Ruimtestaat!H4*$BC4</f>
        <v>0</v>
      </c>
      <c r="BI4" s="276">
        <f ca="1">Ruimtestaat!I4*$BC4</f>
        <v>0</v>
      </c>
      <c r="BJ4" s="277">
        <f ca="1">Ruimtestaat!J4*$BC4</f>
        <v>0</v>
      </c>
      <c r="BK4" s="552"/>
      <c r="BR4" s="272" t="str">
        <f>IF(Ruimtestaat!BC4="","",Ruimtestaat!BC4)</f>
        <v>ALK-ARS</v>
      </c>
      <c r="BS4" s="273">
        <f t="shared" ref="BS4:BS67" si="1">C4</f>
        <v>204</v>
      </c>
      <c r="BT4" s="274" t="str">
        <f ca="1">IF(BD4&gt;0,IF(ISNUMBER(Schoonmaaknormen!D4),Schoonmaaknormen!BD4/Schoonmaaknormen!D4,0),"")</f>
        <v/>
      </c>
      <c r="BU4" s="275" t="str">
        <f ca="1">IF(BE4&gt;0,IF(ISNUMBER(Schoonmaaknormen!E4),Schoonmaaknormen!BE4/Schoonmaaknormen!E4,0),"")</f>
        <v/>
      </c>
      <c r="BV4" s="275" t="str">
        <f ca="1">IF(BF4&gt;0,IF(ISNUMBER(Schoonmaaknormen!F4),Schoonmaaknormen!BF4/Schoonmaaknormen!F4,0),"")</f>
        <v/>
      </c>
      <c r="BW4" s="275" t="str">
        <f ca="1">IF(BG4&gt;0,IF(ISNUMBER(Schoonmaaknormen!G4),Schoonmaaknormen!BG4/Schoonmaaknormen!G4,0),"")</f>
        <v/>
      </c>
      <c r="BX4" s="275" t="str">
        <f ca="1">IF(BH4&gt;0,IF(ISNUMBER(Schoonmaaknormen!H4),Schoonmaaknormen!BH4/Schoonmaaknormen!H4,0),"")</f>
        <v/>
      </c>
      <c r="BY4" s="275" t="str">
        <f ca="1">IF(BI4&gt;0,IF(ISNUMBER(Schoonmaaknormen!I4),Schoonmaaknormen!BI4/Schoonmaaknormen!I4,0),"")</f>
        <v/>
      </c>
      <c r="BZ4" s="275" t="str">
        <f ca="1">IF(BJ4&gt;0,IF(ISNUMBER(Schoonmaaknormen!J4),Schoonmaaknormen!BJ4/Schoonmaaknormen!J4,0),"")</f>
        <v/>
      </c>
      <c r="CA4" s="548"/>
      <c r="CB4" s="552"/>
    </row>
    <row r="5" spans="1:81" ht="0.2" customHeight="1" x14ac:dyDescent="0.2">
      <c r="A5" s="172">
        <f ca="1">Ruimtestaat!A5</f>
        <v>0</v>
      </c>
      <c r="B5" s="568"/>
      <c r="C5" s="11">
        <v>156</v>
      </c>
      <c r="D5" s="271"/>
      <c r="E5" s="191"/>
      <c r="F5" s="191"/>
      <c r="G5" s="191"/>
      <c r="H5" s="191"/>
      <c r="I5" s="193"/>
      <c r="J5" s="193"/>
      <c r="K5" s="564"/>
      <c r="L5" s="552"/>
      <c r="M5" s="172" t="b">
        <f>IF(_xlfn.XLOOKUP(BB5,Tabel2[Locatiecode],Tabel2[Type locatie],"",0)="vaccin",TRUE,FALSE)</f>
        <v>0</v>
      </c>
      <c r="BB5" s="272" t="str">
        <f>IF(Ruimtestaat!BC5="","",Ruimtestaat!BC5)</f>
        <v>ALK-ARS</v>
      </c>
      <c r="BC5" s="273">
        <f t="shared" si="0"/>
        <v>156</v>
      </c>
      <c r="BD5" s="274">
        <f ca="1">Ruimtestaat!D5*$BC5</f>
        <v>0</v>
      </c>
      <c r="BE5" s="275">
        <f ca="1">Ruimtestaat!E5*$BC5</f>
        <v>0</v>
      </c>
      <c r="BF5" s="275">
        <f ca="1">Ruimtestaat!F5*$BC5</f>
        <v>0</v>
      </c>
      <c r="BG5" s="275">
        <f ca="1">Ruimtestaat!G5*$BC5</f>
        <v>0</v>
      </c>
      <c r="BH5" s="275">
        <f ca="1">Ruimtestaat!H5*$BC5</f>
        <v>0</v>
      </c>
      <c r="BI5" s="276">
        <f ca="1">Ruimtestaat!I5*$BC5</f>
        <v>0</v>
      </c>
      <c r="BJ5" s="277">
        <f ca="1">Ruimtestaat!J5*$BC5</f>
        <v>0</v>
      </c>
      <c r="BK5" s="552"/>
      <c r="BR5" s="272" t="str">
        <f>IF(Ruimtestaat!BC5="","",Ruimtestaat!BC5)</f>
        <v>ALK-ARS</v>
      </c>
      <c r="BS5" s="273">
        <f t="shared" si="1"/>
        <v>156</v>
      </c>
      <c r="BT5" s="274" t="str">
        <f ca="1">IF(BD5&gt;0,IF(ISNUMBER(Schoonmaaknormen!D5),Schoonmaaknormen!BD5/Schoonmaaknormen!D5,0),"")</f>
        <v/>
      </c>
      <c r="BU5" s="275" t="str">
        <f ca="1">IF(BE5&gt;0,IF(ISNUMBER(Schoonmaaknormen!E5),Schoonmaaknormen!BE5/Schoonmaaknormen!E5,0),"")</f>
        <v/>
      </c>
      <c r="BV5" s="275" t="str">
        <f ca="1">IF(BF5&gt;0,IF(ISNUMBER(Schoonmaaknormen!F5),Schoonmaaknormen!BF5/Schoonmaaknormen!F5,0),"")</f>
        <v/>
      </c>
      <c r="BW5" s="275" t="str">
        <f ca="1">IF(BG5&gt;0,IF(ISNUMBER(Schoonmaaknormen!G5),Schoonmaaknormen!BG5/Schoonmaaknormen!G5,0),"")</f>
        <v/>
      </c>
      <c r="BX5" s="275" t="str">
        <f ca="1">IF(BH5&gt;0,IF(ISNUMBER(Schoonmaaknormen!H5),Schoonmaaknormen!BH5/Schoonmaaknormen!H5,0),"")</f>
        <v/>
      </c>
      <c r="BY5" s="275" t="str">
        <f ca="1">IF(BI5&gt;0,IF(ISNUMBER(Schoonmaaknormen!I5),Schoonmaaknormen!BI5/Schoonmaaknormen!I5,0),"")</f>
        <v/>
      </c>
      <c r="BZ5" s="275" t="str">
        <f ca="1">IF(BJ5&gt;0,IF(ISNUMBER(Schoonmaaknormen!J5),Schoonmaaknormen!BJ5/Schoonmaaknormen!J5,0),"")</f>
        <v/>
      </c>
      <c r="CA5" s="548"/>
      <c r="CB5" s="552"/>
    </row>
    <row r="6" spans="1:81" ht="0.2" customHeight="1" x14ac:dyDescent="0.2">
      <c r="A6" s="172">
        <f ca="1">Ruimtestaat!A6</f>
        <v>0</v>
      </c>
      <c r="B6" s="568"/>
      <c r="C6" s="11">
        <v>104</v>
      </c>
      <c r="D6" s="271"/>
      <c r="E6" s="191"/>
      <c r="F6" s="191"/>
      <c r="G6" s="191"/>
      <c r="H6" s="191"/>
      <c r="I6" s="193"/>
      <c r="J6" s="193"/>
      <c r="K6" s="564"/>
      <c r="L6" s="553"/>
      <c r="M6" s="172" t="b">
        <f>IF(_xlfn.XLOOKUP(BB6,Tabel2[Locatiecode],Tabel2[Type locatie],"",0)="vaccin",TRUE,FALSE)</f>
        <v>0</v>
      </c>
      <c r="BB6" s="278" t="str">
        <f>IF(Ruimtestaat!BC6="","",Ruimtestaat!BC6)</f>
        <v>ALK-ARS</v>
      </c>
      <c r="BC6" s="279">
        <f t="shared" si="0"/>
        <v>104</v>
      </c>
      <c r="BD6" s="280">
        <f ca="1">Ruimtestaat!D6*$BC6</f>
        <v>0</v>
      </c>
      <c r="BE6" s="281">
        <f ca="1">Ruimtestaat!E6*$BC6</f>
        <v>0</v>
      </c>
      <c r="BF6" s="281">
        <f ca="1">Ruimtestaat!F6*$BC6</f>
        <v>0</v>
      </c>
      <c r="BG6" s="281">
        <f ca="1">Ruimtestaat!G6*$BC6</f>
        <v>0</v>
      </c>
      <c r="BH6" s="281">
        <f ca="1">Ruimtestaat!H6*$BC6</f>
        <v>0</v>
      </c>
      <c r="BI6" s="282">
        <f ca="1">Ruimtestaat!I6*$BC6</f>
        <v>0</v>
      </c>
      <c r="BJ6" s="283">
        <f ca="1">Ruimtestaat!J6*$BC6</f>
        <v>0</v>
      </c>
      <c r="BK6" s="553"/>
      <c r="BR6" s="278" t="str">
        <f>IF(Ruimtestaat!BC6="","",Ruimtestaat!BC6)</f>
        <v>ALK-ARS</v>
      </c>
      <c r="BS6" s="279">
        <f t="shared" si="1"/>
        <v>104</v>
      </c>
      <c r="BT6" s="280" t="str">
        <f ca="1">IF(BD6&gt;0,IF(ISNUMBER(Schoonmaaknormen!D6),Schoonmaaknormen!BD6/Schoonmaaknormen!D6,0),"")</f>
        <v/>
      </c>
      <c r="BU6" s="281" t="str">
        <f ca="1">IF(BE6&gt;0,IF(ISNUMBER(Schoonmaaknormen!E6),Schoonmaaknormen!BE6/Schoonmaaknormen!E6,0),"")</f>
        <v/>
      </c>
      <c r="BV6" s="281" t="str">
        <f ca="1">IF(BF6&gt;0,IF(ISNUMBER(Schoonmaaknormen!F6),Schoonmaaknormen!BF6/Schoonmaaknormen!F6,0),"")</f>
        <v/>
      </c>
      <c r="BW6" s="281" t="str">
        <f ca="1">IF(BG6&gt;0,IF(ISNUMBER(Schoonmaaknormen!G6),Schoonmaaknormen!BG6/Schoonmaaknormen!G6,0),"")</f>
        <v/>
      </c>
      <c r="BX6" s="281" t="str">
        <f ca="1">IF(BH6&gt;0,IF(ISNUMBER(Schoonmaaknormen!H6),Schoonmaaknormen!BH6/Schoonmaaknormen!H6,0),"")</f>
        <v/>
      </c>
      <c r="BY6" s="281" t="str">
        <f ca="1">IF(BI6&gt;0,IF(ISNUMBER(Schoonmaaknormen!I6),Schoonmaaknormen!BI6/Schoonmaaknormen!I6,0),"")</f>
        <v/>
      </c>
      <c r="BZ6" s="281" t="str">
        <f ca="1">IF(BJ6&gt;0,IF(ISNUMBER(Schoonmaaknormen!J6),Schoonmaaknormen!BJ6/Schoonmaaknormen!J6,0),"")</f>
        <v/>
      </c>
      <c r="CA6" s="549"/>
      <c r="CB6" s="553"/>
    </row>
    <row r="7" spans="1:81" ht="0.2" customHeight="1" x14ac:dyDescent="0.2">
      <c r="A7" s="172">
        <f ca="1">Ruimtestaat!A7</f>
        <v>0</v>
      </c>
      <c r="B7" s="568"/>
      <c r="C7" s="11">
        <v>52</v>
      </c>
      <c r="D7" s="271"/>
      <c r="E7" s="191"/>
      <c r="F7" s="191"/>
      <c r="G7" s="191"/>
      <c r="H7" s="191"/>
      <c r="I7" s="193"/>
      <c r="J7" s="193"/>
      <c r="K7" s="564"/>
      <c r="L7" s="553"/>
      <c r="M7" s="172" t="b">
        <f>IF(_xlfn.XLOOKUP(BB7,Tabel2[Locatiecode],Tabel2[Type locatie],"",0)="vaccin",TRUE,FALSE)</f>
        <v>0</v>
      </c>
      <c r="BB7" s="284" t="str">
        <f>IF(Ruimtestaat!BC7="","",Ruimtestaat!BC7)</f>
        <v>ALK-ARS</v>
      </c>
      <c r="BC7" s="285">
        <f t="shared" si="0"/>
        <v>52</v>
      </c>
      <c r="BD7" s="286">
        <f ca="1">Ruimtestaat!D7*$BC7</f>
        <v>0</v>
      </c>
      <c r="BE7" s="287">
        <f ca="1">Ruimtestaat!E7*$BC7</f>
        <v>0</v>
      </c>
      <c r="BF7" s="287">
        <f ca="1">Ruimtestaat!F7*$BC7</f>
        <v>0</v>
      </c>
      <c r="BG7" s="287">
        <f ca="1">Ruimtestaat!G7*$BC7</f>
        <v>0</v>
      </c>
      <c r="BH7" s="287">
        <f ca="1">Ruimtestaat!H7*$BC7</f>
        <v>0</v>
      </c>
      <c r="BI7" s="288">
        <f ca="1">Ruimtestaat!I7*$BC7</f>
        <v>0</v>
      </c>
      <c r="BJ7" s="289">
        <f ca="1">Ruimtestaat!J7*$BC7</f>
        <v>0</v>
      </c>
      <c r="BK7" s="553"/>
      <c r="BR7" s="284" t="str">
        <f>IF(Ruimtestaat!BC7="","",Ruimtestaat!BC7)</f>
        <v>ALK-ARS</v>
      </c>
      <c r="BS7" s="285">
        <f t="shared" si="1"/>
        <v>52</v>
      </c>
      <c r="BT7" s="286" t="str">
        <f ca="1">IF(BD7&gt;0,IF(ISNUMBER(Schoonmaaknormen!D7),Schoonmaaknormen!BD7/Schoonmaaknormen!D7,0),"")</f>
        <v/>
      </c>
      <c r="BU7" s="287" t="str">
        <f ca="1">IF(BE7&gt;0,IF(ISNUMBER(Schoonmaaknormen!E7),Schoonmaaknormen!BE7/Schoonmaaknormen!E7,0),"")</f>
        <v/>
      </c>
      <c r="BV7" s="287" t="str">
        <f ca="1">IF(BF7&gt;0,IF(ISNUMBER(Schoonmaaknormen!F7),Schoonmaaknormen!BF7/Schoonmaaknormen!F7,0),"")</f>
        <v/>
      </c>
      <c r="BW7" s="287" t="str">
        <f ca="1">IF(BG7&gt;0,IF(ISNUMBER(Schoonmaaknormen!G7),Schoonmaaknormen!BG7/Schoonmaaknormen!G7,0),"")</f>
        <v/>
      </c>
      <c r="BX7" s="287" t="str">
        <f ca="1">IF(BH7&gt;0,IF(ISNUMBER(Schoonmaaknormen!H7),Schoonmaaknormen!BH7/Schoonmaaknormen!H7,0),"")</f>
        <v/>
      </c>
      <c r="BY7" s="287" t="str">
        <f ca="1">IF(BI7&gt;0,IF(ISNUMBER(Schoonmaaknormen!I7),Schoonmaaknormen!BI7/Schoonmaaknormen!I7,0),"")</f>
        <v/>
      </c>
      <c r="BZ7" s="287" t="str">
        <f ca="1">IF(BJ7&gt;0,IF(ISNUMBER(Schoonmaaknormen!J7),Schoonmaaknormen!BJ7/Schoonmaaknormen!J7,0),"")</f>
        <v/>
      </c>
      <c r="CA7" s="549"/>
      <c r="CB7" s="553"/>
    </row>
    <row r="8" spans="1:81" ht="0.2" customHeight="1" x14ac:dyDescent="0.2">
      <c r="A8" s="172">
        <f ca="1">Ruimtestaat!A8</f>
        <v>2</v>
      </c>
      <c r="B8" s="569"/>
      <c r="C8" s="290">
        <v>4</v>
      </c>
      <c r="D8" s="271"/>
      <c r="E8" s="191"/>
      <c r="F8" s="191"/>
      <c r="G8" s="191"/>
      <c r="H8" s="191"/>
      <c r="I8" s="193"/>
      <c r="J8" s="193"/>
      <c r="K8" s="564"/>
      <c r="L8" s="554"/>
      <c r="M8" s="172" t="b">
        <f>IF(_xlfn.XLOOKUP(BB8,Tabel2[Locatiecode],Tabel2[Type locatie],"",0)="vaccin",TRUE,FALSE)</f>
        <v>0</v>
      </c>
      <c r="BB8" s="291" t="str">
        <f>IF(Ruimtestaat!BC8="","",Ruimtestaat!BC8)</f>
        <v>ALK-ARS</v>
      </c>
      <c r="BC8" s="292">
        <f t="shared" si="0"/>
        <v>4</v>
      </c>
      <c r="BD8" s="293">
        <f ca="1">Ruimtestaat!D8*$BC8</f>
        <v>0</v>
      </c>
      <c r="BE8" s="294">
        <f ca="1">Ruimtestaat!E8*$BC8</f>
        <v>0</v>
      </c>
      <c r="BF8" s="294">
        <f ca="1">Ruimtestaat!F8*$BC8</f>
        <v>0</v>
      </c>
      <c r="BG8" s="294">
        <f ca="1">Ruimtestaat!G8*$BC8</f>
        <v>0</v>
      </c>
      <c r="BH8" s="294">
        <f ca="1">Ruimtestaat!H8*$BC8</f>
        <v>0</v>
      </c>
      <c r="BI8" s="295">
        <f ca="1">Ruimtestaat!I8*$BC8</f>
        <v>0</v>
      </c>
      <c r="BJ8" s="296">
        <f ca="1">Ruimtestaat!J8*$BC8</f>
        <v>0</v>
      </c>
      <c r="BK8" s="554"/>
      <c r="BR8" s="284" t="str">
        <f>IF(Ruimtestaat!BC8="","",Ruimtestaat!BC8)</f>
        <v>ALK-ARS</v>
      </c>
      <c r="BS8" s="285">
        <f t="shared" si="1"/>
        <v>4</v>
      </c>
      <c r="BT8" s="286" t="str">
        <f ca="1">IF(BD8&gt;0,IF(ISNUMBER(Schoonmaaknormen!D8),Schoonmaaknormen!BD8/Schoonmaaknormen!D8,0),"")</f>
        <v/>
      </c>
      <c r="BU8" s="287" t="str">
        <f ca="1">IF(BE8&gt;0,IF(ISNUMBER(Schoonmaaknormen!E8),Schoonmaaknormen!BE8/Schoonmaaknormen!E8,0),"")</f>
        <v/>
      </c>
      <c r="BV8" s="287" t="str">
        <f ca="1">IF(BF8&gt;0,IF(ISNUMBER(Schoonmaaknormen!F8),Schoonmaaknormen!BF8/Schoonmaaknormen!F8,0),"")</f>
        <v/>
      </c>
      <c r="BW8" s="287" t="str">
        <f ca="1">IF(BG8&gt;0,IF(ISNUMBER(Schoonmaaknormen!G8),Schoonmaaknormen!BG8/Schoonmaaknormen!G8,0),"")</f>
        <v/>
      </c>
      <c r="BX8" s="287" t="str">
        <f ca="1">IF(BH8&gt;0,IF(ISNUMBER(Schoonmaaknormen!H8),Schoonmaaknormen!BH8/Schoonmaaknormen!H8,0),"")</f>
        <v/>
      </c>
      <c r="BY8" s="287" t="str">
        <f ca="1">IF(BI8&gt;0,IF(ISNUMBER(Schoonmaaknormen!I8),Schoonmaaknormen!BI8/Schoonmaaknormen!I8,0),"")</f>
        <v/>
      </c>
      <c r="BZ8" s="287" t="str">
        <f ca="1">IF(BJ8&gt;0,IF(ISNUMBER(Schoonmaaknormen!J8),Schoonmaaknormen!BJ8/Schoonmaaknormen!J8,0),"")</f>
        <v/>
      </c>
      <c r="CA8" s="549"/>
      <c r="CB8" s="553"/>
    </row>
    <row r="9" spans="1:81" ht="0.2" customHeight="1" x14ac:dyDescent="0.2">
      <c r="A9" s="172">
        <f ca="1">Ruimtestaat!A9</f>
        <v>2</v>
      </c>
      <c r="B9" s="567" t="str">
        <f>BB9</f>
        <v>ALK-DIK</v>
      </c>
      <c r="C9" s="298">
        <v>255</v>
      </c>
      <c r="D9" s="299"/>
      <c r="E9" s="300"/>
      <c r="F9" s="300"/>
      <c r="G9" s="300"/>
      <c r="H9" s="300"/>
      <c r="I9" s="302"/>
      <c r="J9" s="302"/>
      <c r="K9" s="564"/>
      <c r="L9" s="551" t="str" cm="1">
        <f t="array" aca="1" ref="L9" ca="1">_xlfn.IFS(A9=2,"",COUNTBLANK(D9:J14)=COUNTIF(Ruimtestaat!D9:J14,"&lt;=0"),BK9/CB9,TRUE,"")</f>
        <v/>
      </c>
      <c r="M9" s="172" t="b">
        <f>IF(_xlfn.XLOOKUP(BB9,Tabel2[Locatiecode],Tabel2[Type locatie],"",0)="vaccin",TRUE,FALSE)</f>
        <v>0</v>
      </c>
      <c r="BB9" s="303" t="str">
        <f>IF(Ruimtestaat!BC9="","",Ruimtestaat!BC9)</f>
        <v>ALK-DIK</v>
      </c>
      <c r="BC9" s="304">
        <f t="shared" si="0"/>
        <v>255</v>
      </c>
      <c r="BD9" s="305">
        <f ca="1">Ruimtestaat!D9*$BC9</f>
        <v>0</v>
      </c>
      <c r="BE9" s="306">
        <f ca="1">Ruimtestaat!E9*$BC9</f>
        <v>0</v>
      </c>
      <c r="BF9" s="306">
        <f ca="1">Ruimtestaat!F9*$BC9</f>
        <v>0</v>
      </c>
      <c r="BG9" s="306">
        <f ca="1">Ruimtestaat!G9*$BC9</f>
        <v>0</v>
      </c>
      <c r="BH9" s="306">
        <f ca="1">Ruimtestaat!H9*$BC9</f>
        <v>0</v>
      </c>
      <c r="BI9" s="307">
        <f ca="1">Ruimtestaat!I9*$BC9</f>
        <v>0</v>
      </c>
      <c r="BJ9" s="308">
        <f ca="1">Ruimtestaat!J9*$BC9</f>
        <v>0</v>
      </c>
      <c r="BK9" s="552">
        <f ca="1">SUM(BD9:BJ14)</f>
        <v>17034</v>
      </c>
      <c r="BR9" s="303" t="str">
        <f>IF(Ruimtestaat!BC9="","",Ruimtestaat!BC9)</f>
        <v>ALK-DIK</v>
      </c>
      <c r="BS9" s="304">
        <f t="shared" si="1"/>
        <v>255</v>
      </c>
      <c r="BT9" s="305" t="str">
        <f ca="1">IF(BD9&gt;0,IF(ISNUMBER(Schoonmaaknormen!D9),Schoonmaaknormen!BD9/Schoonmaaknormen!D9,0),"")</f>
        <v/>
      </c>
      <c r="BU9" s="306" t="str">
        <f ca="1">IF(BE9&gt;0,IF(ISNUMBER(Schoonmaaknormen!E9),Schoonmaaknormen!BE9/Schoonmaaknormen!E9,0),"")</f>
        <v/>
      </c>
      <c r="BV9" s="306" t="str">
        <f ca="1">IF(BF9&gt;0,IF(ISNUMBER(Schoonmaaknormen!F9),Schoonmaaknormen!BF9/Schoonmaaknormen!F9,0),"")</f>
        <v/>
      </c>
      <c r="BW9" s="306" t="str">
        <f ca="1">IF(BG9&gt;0,IF(ISNUMBER(Schoonmaaknormen!G9),Schoonmaaknormen!BG9/Schoonmaaknormen!G9,0),"")</f>
        <v/>
      </c>
      <c r="BX9" s="306" t="str">
        <f ca="1">IF(BH9&gt;0,IF(ISNUMBER(Schoonmaaknormen!H9),Schoonmaaknormen!BH9/Schoonmaaknormen!H9,0),"")</f>
        <v/>
      </c>
      <c r="BY9" s="306" t="str">
        <f ca="1">IF(BI9&gt;0,IF(ISNUMBER(Schoonmaaknormen!I9),Schoonmaaknormen!BI9/Schoonmaaknormen!I9,0),"")</f>
        <v/>
      </c>
      <c r="BZ9" s="306" t="str">
        <f ca="1">IF(BJ9&gt;0,IF(ISNUMBER(Schoonmaaknormen!J9),Schoonmaaknormen!BJ9/Schoonmaaknormen!J9,0),"")</f>
        <v/>
      </c>
      <c r="CA9" s="547" t="str" cm="1">
        <f t="array" ref="CA9">IF(ISNUMBER(K9),IF(SUM(BT9:BZ14)/LARGE(_xlfn._xlws.FILTER(Ruimtestaat!BD:BD,Ruimtestaat!BC:BC=BR9),1)&lt;K9,K9*LARGE(_xlfn._xlws.FILTER(Ruimtestaat!BD:BD,Ruimtestaat!BC:BC=BR9),1)-SUM(BT9:BZ14),0),"")</f>
        <v/>
      </c>
      <c r="CB9" s="551">
        <f ca="1">SUM(BT9:CA14)</f>
        <v>0</v>
      </c>
      <c r="CC9" s="9" cm="1">
        <f t="array" aca="1" ref="CC9" ca="1">LARGE(_xlfn._xlws.FILTER(Ruimtestaat!BD:BD,Ruimtestaat!BC:BC=BR9),1)</f>
        <v>204</v>
      </c>
    </row>
    <row r="10" spans="1:81" ht="15" customHeight="1" x14ac:dyDescent="0.2">
      <c r="A10" s="172">
        <f ca="1">Ruimtestaat!A10</f>
        <v>1</v>
      </c>
      <c r="B10" s="568"/>
      <c r="C10" s="11">
        <v>204</v>
      </c>
      <c r="D10" s="309"/>
      <c r="E10" s="310"/>
      <c r="F10" s="310"/>
      <c r="G10" s="310"/>
      <c r="H10" s="310"/>
      <c r="I10" s="312"/>
      <c r="J10" s="312"/>
      <c r="K10" s="564"/>
      <c r="L10" s="552"/>
      <c r="M10" s="172" t="b">
        <f>IF(_xlfn.XLOOKUP(BB10,Tabel2[Locatiecode],Tabel2[Type locatie],"",0)="vaccin",TRUE,FALSE)</f>
        <v>0</v>
      </c>
      <c r="BB10" s="272" t="str">
        <f>IF(Ruimtestaat!BC10="","",Ruimtestaat!BC10)</f>
        <v>ALK-DIK</v>
      </c>
      <c r="BC10" s="273">
        <f t="shared" si="0"/>
        <v>204</v>
      </c>
      <c r="BD10" s="274">
        <f ca="1">Ruimtestaat!D10*$BC10</f>
        <v>0</v>
      </c>
      <c r="BE10" s="275">
        <f ca="1">Ruimtestaat!E10*$BC10</f>
        <v>11628</v>
      </c>
      <c r="BF10" s="275">
        <f ca="1">Ruimtestaat!F10*$BC10</f>
        <v>4324.8</v>
      </c>
      <c r="BG10" s="275">
        <f ca="1">Ruimtestaat!G10*$BC10</f>
        <v>652.80000000000007</v>
      </c>
      <c r="BH10" s="275">
        <f ca="1">Ruimtestaat!H10*$BC10</f>
        <v>428.40000000000003</v>
      </c>
      <c r="BI10" s="276">
        <f ca="1">Ruimtestaat!I10*$BC10</f>
        <v>0</v>
      </c>
      <c r="BJ10" s="277">
        <f ca="1">Ruimtestaat!J10*$BC10</f>
        <v>0</v>
      </c>
      <c r="BK10" s="552"/>
      <c r="BR10" s="272" t="str">
        <f>IF(Ruimtestaat!BC10="","",Ruimtestaat!BC10)</f>
        <v>ALK-DIK</v>
      </c>
      <c r="BS10" s="273">
        <f t="shared" si="1"/>
        <v>204</v>
      </c>
      <c r="BT10" s="274" t="str">
        <f ca="1">IF(BD10&gt;0,IF(ISNUMBER(Schoonmaaknormen!D10),Schoonmaaknormen!BD10/Schoonmaaknormen!D10,0),"")</f>
        <v/>
      </c>
      <c r="BU10" s="275">
        <f ca="1">IF(BE10&gt;0,IF(ISNUMBER(Schoonmaaknormen!E10),Schoonmaaknormen!BE10/Schoonmaaknormen!E10,0),"")</f>
        <v>0</v>
      </c>
      <c r="BV10" s="275">
        <f ca="1">IF(BF10&gt;0,IF(ISNUMBER(Schoonmaaknormen!F10),Schoonmaaknormen!BF10/Schoonmaaknormen!F10,0),"")</f>
        <v>0</v>
      </c>
      <c r="BW10" s="275">
        <f ca="1">IF(BG10&gt;0,IF(ISNUMBER(Schoonmaaknormen!G10),Schoonmaaknormen!BG10/Schoonmaaknormen!G10,0),"")</f>
        <v>0</v>
      </c>
      <c r="BX10" s="275">
        <f ca="1">IF(BH10&gt;0,IF(ISNUMBER(Schoonmaaknormen!H10),Schoonmaaknormen!BH10/Schoonmaaknormen!H10,0),"")</f>
        <v>0</v>
      </c>
      <c r="BY10" s="275" t="str">
        <f ca="1">IF(BI10&gt;0,IF(ISNUMBER(Schoonmaaknormen!I10),Schoonmaaknormen!BI10/Schoonmaaknormen!I10,0),"")</f>
        <v/>
      </c>
      <c r="BZ10" s="275" t="str">
        <f ca="1">IF(BJ10&gt;0,IF(ISNUMBER(Schoonmaaknormen!J10),Schoonmaaknormen!BJ10/Schoonmaaknormen!J10,0),"")</f>
        <v/>
      </c>
      <c r="CA10" s="548"/>
      <c r="CB10" s="552"/>
    </row>
    <row r="11" spans="1:81" ht="0.2" customHeight="1" x14ac:dyDescent="0.2">
      <c r="A11" s="172">
        <f ca="1">Ruimtestaat!A11</f>
        <v>2</v>
      </c>
      <c r="B11" s="568"/>
      <c r="C11" s="11">
        <v>156</v>
      </c>
      <c r="D11" s="309"/>
      <c r="E11" s="310"/>
      <c r="F11" s="310"/>
      <c r="G11" s="310"/>
      <c r="H11" s="310"/>
      <c r="I11" s="312"/>
      <c r="J11" s="312"/>
      <c r="K11" s="564"/>
      <c r="L11" s="552"/>
      <c r="M11" s="172" t="b">
        <f>IF(_xlfn.XLOOKUP(BB11,Tabel2[Locatiecode],Tabel2[Type locatie],"",0)="vaccin",TRUE,FALSE)</f>
        <v>0</v>
      </c>
      <c r="BB11" s="272" t="str">
        <f>IF(Ruimtestaat!BC11="","",Ruimtestaat!BC11)</f>
        <v>ALK-DIK</v>
      </c>
      <c r="BC11" s="273">
        <f t="shared" si="0"/>
        <v>156</v>
      </c>
      <c r="BD11" s="274">
        <f ca="1">Ruimtestaat!D11*$BC11</f>
        <v>0</v>
      </c>
      <c r="BE11" s="275">
        <f ca="1">Ruimtestaat!E11*$BC11</f>
        <v>0</v>
      </c>
      <c r="BF11" s="275">
        <f ca="1">Ruimtestaat!F11*$BC11</f>
        <v>0</v>
      </c>
      <c r="BG11" s="275">
        <f ca="1">Ruimtestaat!G11*$BC11</f>
        <v>0</v>
      </c>
      <c r="BH11" s="275">
        <f ca="1">Ruimtestaat!H11*$BC11</f>
        <v>0</v>
      </c>
      <c r="BI11" s="276">
        <f ca="1">Ruimtestaat!I11*$BC11</f>
        <v>0</v>
      </c>
      <c r="BJ11" s="277">
        <f ca="1">Ruimtestaat!J11*$BC11</f>
        <v>0</v>
      </c>
      <c r="BK11" s="552"/>
      <c r="BR11" s="272" t="str">
        <f>IF(Ruimtestaat!BC11="","",Ruimtestaat!BC11)</f>
        <v>ALK-DIK</v>
      </c>
      <c r="BS11" s="273">
        <f t="shared" si="1"/>
        <v>156</v>
      </c>
      <c r="BT11" s="274" t="str">
        <f ca="1">IF(BD11&gt;0,IF(ISNUMBER(Schoonmaaknormen!D11),Schoonmaaknormen!BD11/Schoonmaaknormen!D11,0),"")</f>
        <v/>
      </c>
      <c r="BU11" s="275" t="str">
        <f ca="1">IF(BE11&gt;0,IF(ISNUMBER(Schoonmaaknormen!E11),Schoonmaaknormen!BE11/Schoonmaaknormen!E11,0),"")</f>
        <v/>
      </c>
      <c r="BV11" s="275" t="str">
        <f ca="1">IF(BF11&gt;0,IF(ISNUMBER(Schoonmaaknormen!F11),Schoonmaaknormen!BF11/Schoonmaaknormen!F11,0),"")</f>
        <v/>
      </c>
      <c r="BW11" s="275" t="str">
        <f ca="1">IF(BG11&gt;0,IF(ISNUMBER(Schoonmaaknormen!G11),Schoonmaaknormen!BG11/Schoonmaaknormen!G11,0),"")</f>
        <v/>
      </c>
      <c r="BX11" s="275" t="str">
        <f ca="1">IF(BH11&gt;0,IF(ISNUMBER(Schoonmaaknormen!H11),Schoonmaaknormen!BH11/Schoonmaaknormen!H11,0),"")</f>
        <v/>
      </c>
      <c r="BY11" s="275" t="str">
        <f ca="1">IF(BI11&gt;0,IF(ISNUMBER(Schoonmaaknormen!I11),Schoonmaaknormen!BI11/Schoonmaaknormen!I11,0),"")</f>
        <v/>
      </c>
      <c r="BZ11" s="275" t="str">
        <f ca="1">IF(BJ11&gt;0,IF(ISNUMBER(Schoonmaaknormen!J11),Schoonmaaknormen!BJ11/Schoonmaaknormen!J11,0),"")</f>
        <v/>
      </c>
      <c r="CA11" s="548"/>
      <c r="CB11" s="552"/>
    </row>
    <row r="12" spans="1:81" ht="0.2" customHeight="1" x14ac:dyDescent="0.2">
      <c r="A12" s="172">
        <f ca="1">Ruimtestaat!A12</f>
        <v>2</v>
      </c>
      <c r="B12" s="568"/>
      <c r="C12" s="11">
        <v>104</v>
      </c>
      <c r="D12" s="309"/>
      <c r="E12" s="310"/>
      <c r="F12" s="310"/>
      <c r="G12" s="310"/>
      <c r="H12" s="310"/>
      <c r="I12" s="312"/>
      <c r="J12" s="312"/>
      <c r="K12" s="564"/>
      <c r="L12" s="553"/>
      <c r="M12" s="172" t="b">
        <f>IF(_xlfn.XLOOKUP(BB12,Tabel2[Locatiecode],Tabel2[Type locatie],"",0)="vaccin",TRUE,FALSE)</f>
        <v>0</v>
      </c>
      <c r="BB12" s="278" t="str">
        <f>IF(Ruimtestaat!BC12="","",Ruimtestaat!BC12)</f>
        <v>ALK-DIK</v>
      </c>
      <c r="BC12" s="279">
        <f t="shared" si="0"/>
        <v>104</v>
      </c>
      <c r="BD12" s="280">
        <f ca="1">Ruimtestaat!D12*$BC12</f>
        <v>0</v>
      </c>
      <c r="BE12" s="281">
        <f ca="1">Ruimtestaat!E12*$BC12</f>
        <v>0</v>
      </c>
      <c r="BF12" s="281">
        <f ca="1">Ruimtestaat!F12*$BC12</f>
        <v>0</v>
      </c>
      <c r="BG12" s="281">
        <f ca="1">Ruimtestaat!G12*$BC12</f>
        <v>0</v>
      </c>
      <c r="BH12" s="281">
        <f ca="1">Ruimtestaat!H12*$BC12</f>
        <v>0</v>
      </c>
      <c r="BI12" s="282">
        <f ca="1">Ruimtestaat!I12*$BC12</f>
        <v>0</v>
      </c>
      <c r="BJ12" s="283">
        <f ca="1">Ruimtestaat!J12*$BC12</f>
        <v>0</v>
      </c>
      <c r="BK12" s="553"/>
      <c r="BR12" s="278" t="str">
        <f>IF(Ruimtestaat!BC12="","",Ruimtestaat!BC12)</f>
        <v>ALK-DIK</v>
      </c>
      <c r="BS12" s="313">
        <f t="shared" si="1"/>
        <v>104</v>
      </c>
      <c r="BT12" s="280" t="str">
        <f ca="1">IF(BD12&gt;0,IF(ISNUMBER(Schoonmaaknormen!D12),Schoonmaaknormen!BD12/Schoonmaaknormen!D12,0),"")</f>
        <v/>
      </c>
      <c r="BU12" s="314" t="str">
        <f ca="1">IF(BE12&gt;0,IF(ISNUMBER(Schoonmaaknormen!E12),Schoonmaaknormen!BE12/Schoonmaaknormen!E12,0),"")</f>
        <v/>
      </c>
      <c r="BV12" s="314" t="str">
        <f ca="1">IF(BF12&gt;0,IF(ISNUMBER(Schoonmaaknormen!F12),Schoonmaaknormen!BF12/Schoonmaaknormen!F12,0),"")</f>
        <v/>
      </c>
      <c r="BW12" s="314" t="str">
        <f ca="1">IF(BG12&gt;0,IF(ISNUMBER(Schoonmaaknormen!G12),Schoonmaaknormen!BG12/Schoonmaaknormen!G12,0),"")</f>
        <v/>
      </c>
      <c r="BX12" s="314" t="str">
        <f ca="1">IF(BH12&gt;0,IF(ISNUMBER(Schoonmaaknormen!H12),Schoonmaaknormen!BH12/Schoonmaaknormen!H12,0),"")</f>
        <v/>
      </c>
      <c r="BY12" s="314" t="str">
        <f ca="1">IF(BI12&gt;0,IF(ISNUMBER(Schoonmaaknormen!I12),Schoonmaaknormen!BI12/Schoonmaaknormen!I12,0),"")</f>
        <v/>
      </c>
      <c r="BZ12" s="314" t="str">
        <f ca="1">IF(BJ12&gt;0,IF(ISNUMBER(Schoonmaaknormen!J12),Schoonmaaknormen!BJ12/Schoonmaaknormen!J12,0),"")</f>
        <v/>
      </c>
      <c r="CA12" s="549"/>
      <c r="CB12" s="553"/>
    </row>
    <row r="13" spans="1:81" ht="0.2" customHeight="1" x14ac:dyDescent="0.2">
      <c r="A13" s="172">
        <f ca="1">Ruimtestaat!A13</f>
        <v>2</v>
      </c>
      <c r="B13" s="568"/>
      <c r="C13" s="11">
        <v>52</v>
      </c>
      <c r="D13" s="309"/>
      <c r="E13" s="310"/>
      <c r="F13" s="310"/>
      <c r="G13" s="310"/>
      <c r="H13" s="310"/>
      <c r="I13" s="312"/>
      <c r="J13" s="312"/>
      <c r="K13" s="564"/>
      <c r="L13" s="553"/>
      <c r="M13" s="172" t="b">
        <f>IF(_xlfn.XLOOKUP(BB13,Tabel2[Locatiecode],Tabel2[Type locatie],"",0)="vaccin",TRUE,FALSE)</f>
        <v>0</v>
      </c>
      <c r="BB13" s="284" t="str">
        <f>IF(Ruimtestaat!BC13="","",Ruimtestaat!BC13)</f>
        <v>ALK-DIK</v>
      </c>
      <c r="BC13" s="285">
        <f t="shared" si="0"/>
        <v>52</v>
      </c>
      <c r="BD13" s="286">
        <f ca="1">Ruimtestaat!D13*$BC13</f>
        <v>0</v>
      </c>
      <c r="BE13" s="287">
        <f ca="1">Ruimtestaat!E13*$BC13</f>
        <v>0</v>
      </c>
      <c r="BF13" s="287">
        <f ca="1">Ruimtestaat!F13*$BC13</f>
        <v>0</v>
      </c>
      <c r="BG13" s="287">
        <f ca="1">Ruimtestaat!G13*$BC13</f>
        <v>0</v>
      </c>
      <c r="BH13" s="287">
        <f ca="1">Ruimtestaat!H13*$BC13</f>
        <v>0</v>
      </c>
      <c r="BI13" s="288">
        <f ca="1">Ruimtestaat!I13*$BC13</f>
        <v>0</v>
      </c>
      <c r="BJ13" s="289">
        <f ca="1">Ruimtestaat!J13*$BC13</f>
        <v>0</v>
      </c>
      <c r="BK13" s="553"/>
      <c r="BR13" s="284" t="str">
        <f>IF(Ruimtestaat!BC13="","",Ruimtestaat!BC13)</f>
        <v>ALK-DIK</v>
      </c>
      <c r="BS13" s="285">
        <f t="shared" si="1"/>
        <v>52</v>
      </c>
      <c r="BT13" s="286" t="str">
        <f ca="1">IF(BD13&gt;0,IF(ISNUMBER(Schoonmaaknormen!D13),Schoonmaaknormen!BD13/Schoonmaaknormen!D13,0),"")</f>
        <v/>
      </c>
      <c r="BU13" s="287" t="str">
        <f ca="1">IF(BE13&gt;0,IF(ISNUMBER(Schoonmaaknormen!E13),Schoonmaaknormen!BE13/Schoonmaaknormen!E13,0),"")</f>
        <v/>
      </c>
      <c r="BV13" s="287" t="str">
        <f ca="1">IF(BF13&gt;0,IF(ISNUMBER(Schoonmaaknormen!F13),Schoonmaaknormen!BF13/Schoonmaaknormen!F13,0),"")</f>
        <v/>
      </c>
      <c r="BW13" s="287" t="str">
        <f ca="1">IF(BG13&gt;0,IF(ISNUMBER(Schoonmaaknormen!G13),Schoonmaaknormen!BG13/Schoonmaaknormen!G13,0),"")</f>
        <v/>
      </c>
      <c r="BX13" s="287" t="str">
        <f ca="1">IF(BH13&gt;0,IF(ISNUMBER(Schoonmaaknormen!H13),Schoonmaaknormen!BH13/Schoonmaaknormen!H13,0),"")</f>
        <v/>
      </c>
      <c r="BY13" s="287" t="str">
        <f ca="1">IF(BI13&gt;0,IF(ISNUMBER(Schoonmaaknormen!I13),Schoonmaaknormen!BI13/Schoonmaaknormen!I13,0),"")</f>
        <v/>
      </c>
      <c r="BZ13" s="287" t="str">
        <f ca="1">IF(BJ13&gt;0,IF(ISNUMBER(Schoonmaaknormen!J13),Schoonmaaknormen!BJ13/Schoonmaaknormen!J13,0),"")</f>
        <v/>
      </c>
      <c r="CA13" s="549"/>
      <c r="CB13" s="553"/>
    </row>
    <row r="14" spans="1:81" ht="0.2" customHeight="1" x14ac:dyDescent="0.2">
      <c r="A14" s="172">
        <f ca="1">Ruimtestaat!A14</f>
        <v>2</v>
      </c>
      <c r="B14" s="569"/>
      <c r="C14" s="290">
        <v>4</v>
      </c>
      <c r="D14" s="186"/>
      <c r="E14" s="187"/>
      <c r="F14" s="187"/>
      <c r="G14" s="187"/>
      <c r="H14" s="187"/>
      <c r="I14" s="189"/>
      <c r="J14" s="189"/>
      <c r="K14" s="564"/>
      <c r="L14" s="554"/>
      <c r="M14" s="172" t="b">
        <f>IF(_xlfn.XLOOKUP(BB14,Tabel2[Locatiecode],Tabel2[Type locatie],"",0)="vaccin",TRUE,FALSE)</f>
        <v>0</v>
      </c>
      <c r="BB14" s="291" t="str">
        <f>IF(Ruimtestaat!BC14="","",Ruimtestaat!BC14)</f>
        <v>ALK-DIK</v>
      </c>
      <c r="BC14" s="292">
        <f t="shared" si="0"/>
        <v>4</v>
      </c>
      <c r="BD14" s="293">
        <f ca="1">Ruimtestaat!D14*$BC14</f>
        <v>0</v>
      </c>
      <c r="BE14" s="294">
        <f ca="1">Ruimtestaat!E14*$BC14</f>
        <v>0</v>
      </c>
      <c r="BF14" s="294">
        <f ca="1">Ruimtestaat!F14*$BC14</f>
        <v>0</v>
      </c>
      <c r="BG14" s="294">
        <f ca="1">Ruimtestaat!G14*$BC14</f>
        <v>0</v>
      </c>
      <c r="BH14" s="294">
        <f ca="1">Ruimtestaat!H14*$BC14</f>
        <v>0</v>
      </c>
      <c r="BI14" s="295">
        <f ca="1">Ruimtestaat!I14*$BC14</f>
        <v>0</v>
      </c>
      <c r="BJ14" s="296">
        <f ca="1">Ruimtestaat!J14*$BC14</f>
        <v>0</v>
      </c>
      <c r="BK14" s="554"/>
      <c r="BR14" s="291" t="str">
        <f>IF(Ruimtestaat!BC14="","",Ruimtestaat!BC14)</f>
        <v>ALK-DIK</v>
      </c>
      <c r="BS14" s="292">
        <f t="shared" si="1"/>
        <v>4</v>
      </c>
      <c r="BT14" s="293" t="str">
        <f ca="1">IF(BD14&gt;0,IF(ISNUMBER(Schoonmaaknormen!D14),Schoonmaaknormen!BD14/Schoonmaaknormen!D14,0),"")</f>
        <v/>
      </c>
      <c r="BU14" s="294" t="str">
        <f ca="1">IF(BE14&gt;0,IF(ISNUMBER(Schoonmaaknormen!E14),Schoonmaaknormen!BE14/Schoonmaaknormen!E14,0),"")</f>
        <v/>
      </c>
      <c r="BV14" s="294" t="str">
        <f ca="1">IF(BF14&gt;0,IF(ISNUMBER(Schoonmaaknormen!F14),Schoonmaaknormen!BF14/Schoonmaaknormen!F14,0),"")</f>
        <v/>
      </c>
      <c r="BW14" s="294" t="str">
        <f ca="1">IF(BG14&gt;0,IF(ISNUMBER(Schoonmaaknormen!G14),Schoonmaaknormen!BG14/Schoonmaaknormen!G14,0),"")</f>
        <v/>
      </c>
      <c r="BX14" s="294" t="str">
        <f ca="1">IF(BH14&gt;0,IF(ISNUMBER(Schoonmaaknormen!H14),Schoonmaaknormen!BH14/Schoonmaaknormen!H14,0),"")</f>
        <v/>
      </c>
      <c r="BY14" s="294" t="str">
        <f ca="1">IF(BI14&gt;0,IF(ISNUMBER(Schoonmaaknormen!I14),Schoonmaaknormen!BI14/Schoonmaaknormen!I14,0),"")</f>
        <v/>
      </c>
      <c r="BZ14" s="294" t="str">
        <f ca="1">IF(BJ14&gt;0,IF(ISNUMBER(Schoonmaaknormen!J14),Schoonmaaknormen!BJ14/Schoonmaaknormen!J14,0),"")</f>
        <v/>
      </c>
      <c r="CA14" s="555"/>
      <c r="CB14" s="554"/>
    </row>
    <row r="15" spans="1:81" ht="15" customHeight="1" x14ac:dyDescent="0.2">
      <c r="A15" s="172">
        <f ca="1">Ruimtestaat!A15</f>
        <v>1</v>
      </c>
      <c r="B15" s="556" t="str">
        <f>BB15</f>
        <v>ALK-H18</v>
      </c>
      <c r="C15" s="298">
        <v>255</v>
      </c>
      <c r="D15" s="299"/>
      <c r="E15" s="300"/>
      <c r="F15" s="300"/>
      <c r="G15" s="300"/>
      <c r="H15" s="300"/>
      <c r="I15" s="302"/>
      <c r="J15" s="302"/>
      <c r="K15" s="559"/>
      <c r="L15" s="551" t="str" cm="1">
        <f t="array" aca="1" ref="L15" ca="1">_xlfn.IFS(A15=2,"",COUNTBLANK(D15:J20)=COUNTIF(Ruimtestaat!D15:J20,"&lt;=0"),BK15/CB15,TRUE,"")</f>
        <v/>
      </c>
      <c r="M15" s="172" t="b">
        <f>IF(_xlfn.XLOOKUP(BB15,Tabel2[Locatiecode],Tabel2[Type locatie],"",0)="vaccin",TRUE,FALSE)</f>
        <v>0</v>
      </c>
      <c r="BB15" s="303" t="str">
        <f>IF(Ruimtestaat!BC15="","",Ruimtestaat!BC15)</f>
        <v>ALK-H18</v>
      </c>
      <c r="BC15" s="304">
        <f t="shared" si="0"/>
        <v>255</v>
      </c>
      <c r="BD15" s="305">
        <f ca="1">Ruimtestaat!D15*$BC15</f>
        <v>0</v>
      </c>
      <c r="BE15" s="306">
        <f ca="1">Ruimtestaat!E15*$BC15</f>
        <v>83691</v>
      </c>
      <c r="BF15" s="306">
        <f ca="1">Ruimtestaat!F15*$BC15</f>
        <v>20757</v>
      </c>
      <c r="BG15" s="306">
        <f ca="1">Ruimtestaat!G15*$BC15</f>
        <v>24046.5</v>
      </c>
      <c r="BH15" s="306">
        <f ca="1">Ruimtestaat!H15*$BC15</f>
        <v>3289.4999999999995</v>
      </c>
      <c r="BI15" s="307">
        <f ca="1">Ruimtestaat!I15*$BC15</f>
        <v>43630.500000000007</v>
      </c>
      <c r="BJ15" s="308">
        <f ca="1">Ruimtestaat!J15*$BC15</f>
        <v>0</v>
      </c>
      <c r="BK15" s="552">
        <f ca="1">SUM(BD15:BJ20)</f>
        <v>175414.5</v>
      </c>
      <c r="BR15" s="303" t="str">
        <f>IF(Ruimtestaat!BC15="","",Ruimtestaat!BC15)</f>
        <v>ALK-H18</v>
      </c>
      <c r="BS15" s="304">
        <f t="shared" si="1"/>
        <v>255</v>
      </c>
      <c r="BT15" s="305" t="str">
        <f ca="1">IF(BD15&gt;0,IF(ISNUMBER(Schoonmaaknormen!D15),Schoonmaaknormen!BD15/Schoonmaaknormen!D15,0),"")</f>
        <v/>
      </c>
      <c r="BU15" s="306">
        <f ca="1">IF(BE15&gt;0,IF(ISNUMBER(Schoonmaaknormen!E15),Schoonmaaknormen!BE15/Schoonmaaknormen!E15,0),"")</f>
        <v>0</v>
      </c>
      <c r="BV15" s="306">
        <f ca="1">IF(BF15&gt;0,IF(ISNUMBER(Schoonmaaknormen!F15),Schoonmaaknormen!BF15/Schoonmaaknormen!F15,0),"")</f>
        <v>0</v>
      </c>
      <c r="BW15" s="306">
        <f ca="1">IF(BG15&gt;0,IF(ISNUMBER(Schoonmaaknormen!G15),Schoonmaaknormen!BG15/Schoonmaaknormen!G15,0),"")</f>
        <v>0</v>
      </c>
      <c r="BX15" s="306">
        <f ca="1">IF(BH15&gt;0,IF(ISNUMBER(Schoonmaaknormen!H15),Schoonmaaknormen!BH15/Schoonmaaknormen!H15,0),"")</f>
        <v>0</v>
      </c>
      <c r="BY15" s="306">
        <f ca="1">IF(BI15&gt;0,IF(ISNUMBER(Schoonmaaknormen!I15),Schoonmaaknormen!BI15/Schoonmaaknormen!I15,0),"")</f>
        <v>0</v>
      </c>
      <c r="BZ15" s="306" t="str">
        <f ca="1">IF(BJ15&gt;0,IF(ISNUMBER(Schoonmaaknormen!J15),Schoonmaaknormen!BJ15/Schoonmaaknormen!J15,0),"")</f>
        <v/>
      </c>
      <c r="CA15" s="547" t="str" cm="1">
        <f t="array" ref="CA15">IF(ISNUMBER(K15),IF(SUM(BT15:BZ20)/LARGE(_xlfn._xlws.FILTER(Ruimtestaat!BD:BD,Ruimtestaat!BC:BC=BR15),1)&lt;K15,K15*LARGE(_xlfn._xlws.FILTER(Ruimtestaat!BD:BD,Ruimtestaat!BC:BC=BR15),1)-SUM(BT15:BZ20),0),"")</f>
        <v/>
      </c>
      <c r="CB15" s="551">
        <f ca="1">SUM(BT15:CA20)</f>
        <v>0</v>
      </c>
    </row>
    <row r="16" spans="1:81" ht="0.2" customHeight="1" x14ac:dyDescent="0.2">
      <c r="A16" s="172">
        <f ca="1">Ruimtestaat!A16</f>
        <v>2</v>
      </c>
      <c r="B16" s="557"/>
      <c r="C16" s="11">
        <v>204</v>
      </c>
      <c r="D16" s="309"/>
      <c r="E16" s="310"/>
      <c r="F16" s="310"/>
      <c r="G16" s="310"/>
      <c r="H16" s="310"/>
      <c r="I16" s="312"/>
      <c r="J16" s="312"/>
      <c r="K16" s="560"/>
      <c r="L16" s="552"/>
      <c r="M16" s="172" t="b">
        <f>IF(_xlfn.XLOOKUP(BB16,Tabel2[Locatiecode],Tabel2[Type locatie],"",0)="vaccin",TRUE,FALSE)</f>
        <v>0</v>
      </c>
      <c r="BB16" s="272" t="str">
        <f>IF(Ruimtestaat!BC16="","",Ruimtestaat!BC16)</f>
        <v>ALK-H18</v>
      </c>
      <c r="BC16" s="273">
        <f t="shared" si="0"/>
        <v>204</v>
      </c>
      <c r="BD16" s="274">
        <f ca="1">Ruimtestaat!D16*$BC16</f>
        <v>0</v>
      </c>
      <c r="BE16" s="275">
        <f ca="1">Ruimtestaat!E16*$BC16</f>
        <v>0</v>
      </c>
      <c r="BF16" s="275">
        <f ca="1">Ruimtestaat!F16*$BC16</f>
        <v>0</v>
      </c>
      <c r="BG16" s="275">
        <f ca="1">Ruimtestaat!G16*$BC16</f>
        <v>0</v>
      </c>
      <c r="BH16" s="275">
        <f ca="1">Ruimtestaat!H16*$BC16</f>
        <v>0</v>
      </c>
      <c r="BI16" s="276">
        <f ca="1">Ruimtestaat!I16*$BC16</f>
        <v>0</v>
      </c>
      <c r="BJ16" s="277">
        <f ca="1">Ruimtestaat!J16*$BC16</f>
        <v>0</v>
      </c>
      <c r="BK16" s="552"/>
      <c r="BR16" s="272" t="str">
        <f>IF(Ruimtestaat!BC16="","",Ruimtestaat!BC16)</f>
        <v>ALK-H18</v>
      </c>
      <c r="BS16" s="273">
        <f t="shared" si="1"/>
        <v>204</v>
      </c>
      <c r="BT16" s="274" t="str">
        <f ca="1">IF(BD16&gt;0,IF(ISNUMBER(Schoonmaaknormen!D16),Schoonmaaknormen!BD16/Schoonmaaknormen!D16,0),"")</f>
        <v/>
      </c>
      <c r="BU16" s="275" t="str">
        <f ca="1">IF(BE16&gt;0,IF(ISNUMBER(Schoonmaaknormen!E16),Schoonmaaknormen!BE16/Schoonmaaknormen!E16,0),"")</f>
        <v/>
      </c>
      <c r="BV16" s="275" t="str">
        <f ca="1">IF(BF16&gt;0,IF(ISNUMBER(Schoonmaaknormen!F16),Schoonmaaknormen!BF16/Schoonmaaknormen!F16,0),"")</f>
        <v/>
      </c>
      <c r="BW16" s="275" t="str">
        <f ca="1">IF(BG16&gt;0,IF(ISNUMBER(Schoonmaaknormen!G16),Schoonmaaknormen!BG16/Schoonmaaknormen!G16,0),"")</f>
        <v/>
      </c>
      <c r="BX16" s="275" t="str">
        <f ca="1">IF(BH16&gt;0,IF(ISNUMBER(Schoonmaaknormen!H16),Schoonmaaknormen!BH16/Schoonmaaknormen!H16,0),"")</f>
        <v/>
      </c>
      <c r="BY16" s="275" t="str">
        <f ca="1">IF(BI16&gt;0,IF(ISNUMBER(Schoonmaaknormen!I16),Schoonmaaknormen!BI16/Schoonmaaknormen!I16,0),"")</f>
        <v/>
      </c>
      <c r="BZ16" s="275" t="str">
        <f ca="1">IF(BJ16&gt;0,IF(ISNUMBER(Schoonmaaknormen!J16),Schoonmaaknormen!BJ16/Schoonmaaknormen!J16,0),"")</f>
        <v/>
      </c>
      <c r="CA16" s="548"/>
      <c r="CB16" s="552"/>
    </row>
    <row r="17" spans="1:80" ht="0.2" customHeight="1" x14ac:dyDescent="0.2">
      <c r="A17" s="172">
        <f ca="1">Ruimtestaat!A17</f>
        <v>2</v>
      </c>
      <c r="B17" s="557"/>
      <c r="C17" s="11">
        <v>156</v>
      </c>
      <c r="D17" s="309"/>
      <c r="E17" s="310"/>
      <c r="F17" s="310"/>
      <c r="G17" s="310"/>
      <c r="H17" s="310"/>
      <c r="I17" s="312"/>
      <c r="J17" s="312"/>
      <c r="K17" s="560"/>
      <c r="L17" s="552"/>
      <c r="M17" s="172" t="b">
        <f>IF(_xlfn.XLOOKUP(BB17,Tabel2[Locatiecode],Tabel2[Type locatie],"",0)="vaccin",TRUE,FALSE)</f>
        <v>0</v>
      </c>
      <c r="BB17" s="272" t="str">
        <f>IF(Ruimtestaat!BC17="","",Ruimtestaat!BC17)</f>
        <v>ALK-H18</v>
      </c>
      <c r="BC17" s="273">
        <f t="shared" si="0"/>
        <v>156</v>
      </c>
      <c r="BD17" s="274">
        <f ca="1">Ruimtestaat!D17*$BC17</f>
        <v>0</v>
      </c>
      <c r="BE17" s="275">
        <f ca="1">Ruimtestaat!E17*$BC17</f>
        <v>0</v>
      </c>
      <c r="BF17" s="275">
        <f ca="1">Ruimtestaat!F17*$BC17</f>
        <v>0</v>
      </c>
      <c r="BG17" s="275">
        <f ca="1">Ruimtestaat!G17*$BC17</f>
        <v>0</v>
      </c>
      <c r="BH17" s="275">
        <f ca="1">Ruimtestaat!H17*$BC17</f>
        <v>0</v>
      </c>
      <c r="BI17" s="276">
        <f ca="1">Ruimtestaat!I17*$BC17</f>
        <v>0</v>
      </c>
      <c r="BJ17" s="277">
        <f ca="1">Ruimtestaat!J17*$BC17</f>
        <v>0</v>
      </c>
      <c r="BK17" s="552"/>
      <c r="BR17" s="272" t="str">
        <f>IF(Ruimtestaat!BC17="","",Ruimtestaat!BC17)</f>
        <v>ALK-H18</v>
      </c>
      <c r="BS17" s="273">
        <f t="shared" si="1"/>
        <v>156</v>
      </c>
      <c r="BT17" s="274" t="str">
        <f ca="1">IF(BD17&gt;0,IF(ISNUMBER(Schoonmaaknormen!D17),Schoonmaaknormen!BD17/Schoonmaaknormen!D17,0),"")</f>
        <v/>
      </c>
      <c r="BU17" s="275" t="str">
        <f ca="1">IF(BE17&gt;0,IF(ISNUMBER(Schoonmaaknormen!E17),Schoonmaaknormen!BE17/Schoonmaaknormen!E17,0),"")</f>
        <v/>
      </c>
      <c r="BV17" s="275" t="str">
        <f ca="1">IF(BF17&gt;0,IF(ISNUMBER(Schoonmaaknormen!F17),Schoonmaaknormen!BF17/Schoonmaaknormen!F17,0),"")</f>
        <v/>
      </c>
      <c r="BW17" s="275" t="str">
        <f ca="1">IF(BG17&gt;0,IF(ISNUMBER(Schoonmaaknormen!G17),Schoonmaaknormen!BG17/Schoonmaaknormen!G17,0),"")</f>
        <v/>
      </c>
      <c r="BX17" s="275" t="str">
        <f ca="1">IF(BH17&gt;0,IF(ISNUMBER(Schoonmaaknormen!H17),Schoonmaaknormen!BH17/Schoonmaaknormen!H17,0),"")</f>
        <v/>
      </c>
      <c r="BY17" s="275" t="str">
        <f ca="1">IF(BI17&gt;0,IF(ISNUMBER(Schoonmaaknormen!I17),Schoonmaaknormen!BI17/Schoonmaaknormen!I17,0),"")</f>
        <v/>
      </c>
      <c r="BZ17" s="275" t="str">
        <f ca="1">IF(BJ17&gt;0,IF(ISNUMBER(Schoonmaaknormen!J17),Schoonmaaknormen!BJ17/Schoonmaaknormen!J17,0),"")</f>
        <v/>
      </c>
      <c r="CA17" s="548"/>
      <c r="CB17" s="552"/>
    </row>
    <row r="18" spans="1:80" ht="0.2" customHeight="1" x14ac:dyDescent="0.2">
      <c r="A18" s="172">
        <f ca="1">Ruimtestaat!A18</f>
        <v>2</v>
      </c>
      <c r="B18" s="557"/>
      <c r="C18" s="11">
        <v>104</v>
      </c>
      <c r="D18" s="309"/>
      <c r="E18" s="310"/>
      <c r="F18" s="310"/>
      <c r="G18" s="310"/>
      <c r="H18" s="310"/>
      <c r="I18" s="312"/>
      <c r="J18" s="312"/>
      <c r="K18" s="561"/>
      <c r="L18" s="553"/>
      <c r="M18" s="172" t="b">
        <f>IF(_xlfn.XLOOKUP(BB18,Tabel2[Locatiecode],Tabel2[Type locatie],"",0)="vaccin",TRUE,FALSE)</f>
        <v>0</v>
      </c>
      <c r="BB18" s="278" t="str">
        <f>IF(Ruimtestaat!BC18="","",Ruimtestaat!BC18)</f>
        <v>ALK-H18</v>
      </c>
      <c r="BC18" s="279">
        <f t="shared" si="0"/>
        <v>104</v>
      </c>
      <c r="BD18" s="280">
        <f ca="1">Ruimtestaat!D18*$BC18</f>
        <v>0</v>
      </c>
      <c r="BE18" s="281">
        <f ca="1">Ruimtestaat!E18*$BC18</f>
        <v>0</v>
      </c>
      <c r="BF18" s="281">
        <f ca="1">Ruimtestaat!F18*$BC18</f>
        <v>0</v>
      </c>
      <c r="BG18" s="281">
        <f ca="1">Ruimtestaat!G18*$BC18</f>
        <v>0</v>
      </c>
      <c r="BH18" s="281">
        <f ca="1">Ruimtestaat!H18*$BC18</f>
        <v>0</v>
      </c>
      <c r="BI18" s="282">
        <f ca="1">Ruimtestaat!I18*$BC18</f>
        <v>0</v>
      </c>
      <c r="BJ18" s="283">
        <f ca="1">Ruimtestaat!J18*$BC18</f>
        <v>0</v>
      </c>
      <c r="BK18" s="553"/>
      <c r="BR18" s="278" t="str">
        <f>IF(Ruimtestaat!BC18="","",Ruimtestaat!BC18)</f>
        <v>ALK-H18</v>
      </c>
      <c r="BS18" s="313">
        <f t="shared" si="1"/>
        <v>104</v>
      </c>
      <c r="BT18" s="280" t="str">
        <f ca="1">IF(BD18&gt;0,IF(ISNUMBER(Schoonmaaknormen!D18),Schoonmaaknormen!BD18/Schoonmaaknormen!D18,0),"")</f>
        <v/>
      </c>
      <c r="BU18" s="314" t="str">
        <f ca="1">IF(BE18&gt;0,IF(ISNUMBER(Schoonmaaknormen!E18),Schoonmaaknormen!BE18/Schoonmaaknormen!E18,0),"")</f>
        <v/>
      </c>
      <c r="BV18" s="314" t="str">
        <f ca="1">IF(BF18&gt;0,IF(ISNUMBER(Schoonmaaknormen!F18),Schoonmaaknormen!BF18/Schoonmaaknormen!F18,0),"")</f>
        <v/>
      </c>
      <c r="BW18" s="314" t="str">
        <f ca="1">IF(BG18&gt;0,IF(ISNUMBER(Schoonmaaknormen!G18),Schoonmaaknormen!BG18/Schoonmaaknormen!G18,0),"")</f>
        <v/>
      </c>
      <c r="BX18" s="314" t="str">
        <f ca="1">IF(BH18&gt;0,IF(ISNUMBER(Schoonmaaknormen!H18),Schoonmaaknormen!BH18/Schoonmaaknormen!H18,0),"")</f>
        <v/>
      </c>
      <c r="BY18" s="314" t="str">
        <f ca="1">IF(BI18&gt;0,IF(ISNUMBER(Schoonmaaknormen!I18),Schoonmaaknormen!BI18/Schoonmaaknormen!I18,0),"")</f>
        <v/>
      </c>
      <c r="BZ18" s="314" t="str">
        <f ca="1">IF(BJ18&gt;0,IF(ISNUMBER(Schoonmaaknormen!J18),Schoonmaaknormen!BJ18/Schoonmaaknormen!J18,0),"")</f>
        <v/>
      </c>
      <c r="CA18" s="549"/>
      <c r="CB18" s="553"/>
    </row>
    <row r="19" spans="1:80" ht="0.2" customHeight="1" x14ac:dyDescent="0.2">
      <c r="A19" s="172">
        <f ca="1">Ruimtestaat!A19</f>
        <v>2</v>
      </c>
      <c r="B19" s="557"/>
      <c r="C19" s="11">
        <v>52</v>
      </c>
      <c r="D19" s="309"/>
      <c r="E19" s="310"/>
      <c r="F19" s="310"/>
      <c r="G19" s="310"/>
      <c r="H19" s="310"/>
      <c r="I19" s="312"/>
      <c r="J19" s="312"/>
      <c r="K19" s="561"/>
      <c r="L19" s="553"/>
      <c r="M19" s="172" t="b">
        <f>IF(_xlfn.XLOOKUP(BB19,Tabel2[Locatiecode],Tabel2[Type locatie],"",0)="vaccin",TRUE,FALSE)</f>
        <v>0</v>
      </c>
      <c r="BB19" s="284" t="str">
        <f>IF(Ruimtestaat!BC19="","",Ruimtestaat!BC19)</f>
        <v>ALK-H18</v>
      </c>
      <c r="BC19" s="285">
        <f t="shared" si="0"/>
        <v>52</v>
      </c>
      <c r="BD19" s="286">
        <f ca="1">Ruimtestaat!D19*$BC19</f>
        <v>0</v>
      </c>
      <c r="BE19" s="287">
        <f ca="1">Ruimtestaat!E19*$BC19</f>
        <v>0</v>
      </c>
      <c r="BF19" s="287">
        <f ca="1">Ruimtestaat!F19*$BC19</f>
        <v>0</v>
      </c>
      <c r="BG19" s="287">
        <f ca="1">Ruimtestaat!G19*$BC19</f>
        <v>0</v>
      </c>
      <c r="BH19" s="287">
        <f ca="1">Ruimtestaat!H19*$BC19</f>
        <v>0</v>
      </c>
      <c r="BI19" s="288">
        <f ca="1">Ruimtestaat!I19*$BC19</f>
        <v>0</v>
      </c>
      <c r="BJ19" s="289">
        <f ca="1">Ruimtestaat!J19*$BC19</f>
        <v>0</v>
      </c>
      <c r="BK19" s="553"/>
      <c r="BR19" s="284" t="str">
        <f>IF(Ruimtestaat!BC19="","",Ruimtestaat!BC19)</f>
        <v>ALK-H18</v>
      </c>
      <c r="BS19" s="285">
        <f t="shared" si="1"/>
        <v>52</v>
      </c>
      <c r="BT19" s="286" t="str">
        <f ca="1">IF(BD19&gt;0,IF(ISNUMBER(Schoonmaaknormen!D19),Schoonmaaknormen!BD19/Schoonmaaknormen!D19,0),"")</f>
        <v/>
      </c>
      <c r="BU19" s="287" t="str">
        <f ca="1">IF(BE19&gt;0,IF(ISNUMBER(Schoonmaaknormen!E19),Schoonmaaknormen!BE19/Schoonmaaknormen!E19,0),"")</f>
        <v/>
      </c>
      <c r="BV19" s="287" t="str">
        <f ca="1">IF(BF19&gt;0,IF(ISNUMBER(Schoonmaaknormen!F19),Schoonmaaknormen!BF19/Schoonmaaknormen!F19,0),"")</f>
        <v/>
      </c>
      <c r="BW19" s="287" t="str">
        <f ca="1">IF(BG19&gt;0,IF(ISNUMBER(Schoonmaaknormen!G19),Schoonmaaknormen!BG19/Schoonmaaknormen!G19,0),"")</f>
        <v/>
      </c>
      <c r="BX19" s="287" t="str">
        <f ca="1">IF(BH19&gt;0,IF(ISNUMBER(Schoonmaaknormen!H19),Schoonmaaknormen!BH19/Schoonmaaknormen!H19,0),"")</f>
        <v/>
      </c>
      <c r="BY19" s="287" t="str">
        <f ca="1">IF(BI19&gt;0,IF(ISNUMBER(Schoonmaaknormen!I19),Schoonmaaknormen!BI19/Schoonmaaknormen!I19,0),"")</f>
        <v/>
      </c>
      <c r="BZ19" s="287" t="str">
        <f ca="1">IF(BJ19&gt;0,IF(ISNUMBER(Schoonmaaknormen!J19),Schoonmaaknormen!BJ19/Schoonmaaknormen!J19,0),"")</f>
        <v/>
      </c>
      <c r="CA19" s="549"/>
      <c r="CB19" s="553"/>
    </row>
    <row r="20" spans="1:80" ht="0.2" customHeight="1" x14ac:dyDescent="0.2">
      <c r="A20" s="172">
        <f ca="1">Ruimtestaat!A20</f>
        <v>2</v>
      </c>
      <c r="B20" s="558"/>
      <c r="C20" s="290">
        <v>4</v>
      </c>
      <c r="D20" s="186"/>
      <c r="E20" s="187"/>
      <c r="F20" s="187"/>
      <c r="G20" s="187"/>
      <c r="H20" s="187"/>
      <c r="I20" s="189"/>
      <c r="J20" s="189"/>
      <c r="K20" s="562"/>
      <c r="L20" s="554"/>
      <c r="M20" s="172" t="b">
        <f>IF(_xlfn.XLOOKUP(BB20,Tabel2[Locatiecode],Tabel2[Type locatie],"",0)="vaccin",TRUE,FALSE)</f>
        <v>0</v>
      </c>
      <c r="BB20" s="291" t="str">
        <f>IF(Ruimtestaat!BC20="","",Ruimtestaat!BC20)</f>
        <v>ALK-H18</v>
      </c>
      <c r="BC20" s="292">
        <f t="shared" si="0"/>
        <v>4</v>
      </c>
      <c r="BD20" s="293">
        <f ca="1">Ruimtestaat!D20*$BC20</f>
        <v>0</v>
      </c>
      <c r="BE20" s="294">
        <f ca="1">Ruimtestaat!E20*$BC20</f>
        <v>0</v>
      </c>
      <c r="BF20" s="294">
        <f ca="1">Ruimtestaat!F20*$BC20</f>
        <v>0</v>
      </c>
      <c r="BG20" s="294">
        <f ca="1">Ruimtestaat!G20*$BC20</f>
        <v>0</v>
      </c>
      <c r="BH20" s="294">
        <f ca="1">Ruimtestaat!H20*$BC20</f>
        <v>0</v>
      </c>
      <c r="BI20" s="295">
        <f ca="1">Ruimtestaat!I20*$BC20</f>
        <v>0</v>
      </c>
      <c r="BJ20" s="296">
        <f ca="1">Ruimtestaat!J20*$BC20</f>
        <v>0</v>
      </c>
      <c r="BK20" s="554"/>
      <c r="BR20" s="291" t="str">
        <f>IF(Ruimtestaat!BC20="","",Ruimtestaat!BC20)</f>
        <v>ALK-H18</v>
      </c>
      <c r="BS20" s="292">
        <f t="shared" si="1"/>
        <v>4</v>
      </c>
      <c r="BT20" s="293" t="str">
        <f ca="1">IF(BD20&gt;0,IF(ISNUMBER(Schoonmaaknormen!D20),Schoonmaaknormen!BD20/Schoonmaaknormen!D20,0),"")</f>
        <v/>
      </c>
      <c r="BU20" s="294" t="str">
        <f ca="1">IF(BE20&gt;0,IF(ISNUMBER(Schoonmaaknormen!E20),Schoonmaaknormen!BE20/Schoonmaaknormen!E20,0),"")</f>
        <v/>
      </c>
      <c r="BV20" s="294" t="str">
        <f ca="1">IF(BF20&gt;0,IF(ISNUMBER(Schoonmaaknormen!F20),Schoonmaaknormen!BF20/Schoonmaaknormen!F20,0),"")</f>
        <v/>
      </c>
      <c r="BW20" s="294" t="str">
        <f ca="1">IF(BG20&gt;0,IF(ISNUMBER(Schoonmaaknormen!G20),Schoonmaaknormen!BG20/Schoonmaaknormen!G20,0),"")</f>
        <v/>
      </c>
      <c r="BX20" s="294" t="str">
        <f ca="1">IF(BH20&gt;0,IF(ISNUMBER(Schoonmaaknormen!H20),Schoonmaaknormen!BH20/Schoonmaaknormen!H20,0),"")</f>
        <v/>
      </c>
      <c r="BY20" s="294" t="str">
        <f ca="1">IF(BI20&gt;0,IF(ISNUMBER(Schoonmaaknormen!I20),Schoonmaaknormen!BI20/Schoonmaaknormen!I20,0),"")</f>
        <v/>
      </c>
      <c r="BZ20" s="294" t="str">
        <f ca="1">IF(BJ20&gt;0,IF(ISNUMBER(Schoonmaaknormen!J20),Schoonmaaknormen!BJ20/Schoonmaaknormen!J20,0),"")</f>
        <v/>
      </c>
      <c r="CA20" s="555"/>
      <c r="CB20" s="554"/>
    </row>
    <row r="21" spans="1:80" ht="15" customHeight="1" x14ac:dyDescent="0.2">
      <c r="A21" s="172">
        <f ca="1">Ruimtestaat!A21</f>
        <v>1</v>
      </c>
      <c r="B21" s="556" t="str">
        <f>BB21</f>
        <v>ALK-HAW</v>
      </c>
      <c r="C21" s="298">
        <v>255</v>
      </c>
      <c r="D21" s="299"/>
      <c r="E21" s="300"/>
      <c r="F21" s="300"/>
      <c r="G21" s="300"/>
      <c r="H21" s="300"/>
      <c r="I21" s="302"/>
      <c r="J21" s="302"/>
      <c r="K21" s="559"/>
      <c r="L21" s="551" t="str" cm="1">
        <f t="array" aca="1" ref="L21" ca="1">_xlfn.IFS(A21=2,"",COUNTBLANK(D21:J26)=COUNTIF(Ruimtestaat!D21:J26,"&lt;=0"),BK21/CB21,TRUE,"")</f>
        <v/>
      </c>
      <c r="M21" s="172" t="b">
        <f>IF(_xlfn.XLOOKUP(BB21,Tabel2[Locatiecode],Tabel2[Type locatie],"",0)="vaccin",TRUE,FALSE)</f>
        <v>0</v>
      </c>
      <c r="BB21" s="303" t="str">
        <f>IF(Ruimtestaat!BC21="","",Ruimtestaat!BC21)</f>
        <v>ALK-HAW</v>
      </c>
      <c r="BC21" s="304">
        <f t="shared" si="0"/>
        <v>255</v>
      </c>
      <c r="BD21" s="305">
        <f ca="1">Ruimtestaat!D21*$BC21</f>
        <v>0</v>
      </c>
      <c r="BE21" s="306">
        <f ca="1">Ruimtestaat!E21*$BC21</f>
        <v>197472</v>
      </c>
      <c r="BF21" s="306">
        <f ca="1">Ruimtestaat!F21*$BC21</f>
        <v>125638.49999999999</v>
      </c>
      <c r="BG21" s="306">
        <f ca="1">Ruimtestaat!G21*$BC21</f>
        <v>48730.500000000007</v>
      </c>
      <c r="BH21" s="306">
        <f ca="1">Ruimtestaat!H21*$BC21</f>
        <v>12775.5</v>
      </c>
      <c r="BI21" s="307">
        <f ca="1">Ruimtestaat!I21*$BC21</f>
        <v>76780.5</v>
      </c>
      <c r="BJ21" s="308">
        <f ca="1">Ruimtestaat!J21*$BC21</f>
        <v>0</v>
      </c>
      <c r="BK21" s="552">
        <f ca="1">SUM(BD21:BJ26)</f>
        <v>461397</v>
      </c>
      <c r="BR21" s="303" t="str">
        <f>IF(Ruimtestaat!BC21="","",Ruimtestaat!BC21)</f>
        <v>ALK-HAW</v>
      </c>
      <c r="BS21" s="304">
        <f t="shared" si="1"/>
        <v>255</v>
      </c>
      <c r="BT21" s="305" t="str">
        <f ca="1">IF(BD21&gt;0,IF(ISNUMBER(Schoonmaaknormen!D21),Schoonmaaknormen!BD21/Schoonmaaknormen!D21,0),"")</f>
        <v/>
      </c>
      <c r="BU21" s="306">
        <f ca="1">IF(BE21&gt;0,IF(ISNUMBER(Schoonmaaknormen!E21),Schoonmaaknormen!BE21/Schoonmaaknormen!E21,0),"")</f>
        <v>0</v>
      </c>
      <c r="BV21" s="306">
        <f ca="1">IF(BF21&gt;0,IF(ISNUMBER(Schoonmaaknormen!F21),Schoonmaaknormen!BF21/Schoonmaaknormen!F21,0),"")</f>
        <v>0</v>
      </c>
      <c r="BW21" s="306">
        <f ca="1">IF(BG21&gt;0,IF(ISNUMBER(Schoonmaaknormen!G21),Schoonmaaknormen!BG21/Schoonmaaknormen!G21,0),"")</f>
        <v>0</v>
      </c>
      <c r="BX21" s="306">
        <f ca="1">IF(BH21&gt;0,IF(ISNUMBER(Schoonmaaknormen!H21),Schoonmaaknormen!BH21/Schoonmaaknormen!H21,0),"")</f>
        <v>0</v>
      </c>
      <c r="BY21" s="306">
        <f ca="1">IF(BI21&gt;0,IF(ISNUMBER(Schoonmaaknormen!I21),Schoonmaaknormen!BI21/Schoonmaaknormen!I21,0),"")</f>
        <v>0</v>
      </c>
      <c r="BZ21" s="306" t="str">
        <f ca="1">IF(BJ21&gt;0,IF(ISNUMBER(Schoonmaaknormen!J21),Schoonmaaknormen!BJ21/Schoonmaaknormen!J21,0),"")</f>
        <v/>
      </c>
      <c r="CA21" s="547" t="str" cm="1">
        <f t="array" ref="CA21">IF(ISNUMBER(K21),IF(SUM(BT21:BZ26)/LARGE(_xlfn._xlws.FILTER(Ruimtestaat!BD:BD,Ruimtestaat!BC:BC=BR21),1)&lt;K21,K21*LARGE(_xlfn._xlws.FILTER(Ruimtestaat!BD:BD,Ruimtestaat!BC:BC=BR21),1)-SUM(BT21:BZ26),0),"")</f>
        <v/>
      </c>
      <c r="CB21" s="551">
        <f ca="1">SUM(BT21:CA26)</f>
        <v>0</v>
      </c>
    </row>
    <row r="22" spans="1:80" ht="0.2" customHeight="1" x14ac:dyDescent="0.2">
      <c r="A22" s="172">
        <f ca="1">Ruimtestaat!A22</f>
        <v>2</v>
      </c>
      <c r="B22" s="557"/>
      <c r="C22" s="11">
        <v>204</v>
      </c>
      <c r="D22" s="309"/>
      <c r="E22" s="310"/>
      <c r="F22" s="310"/>
      <c r="G22" s="310"/>
      <c r="H22" s="310"/>
      <c r="I22" s="312"/>
      <c r="J22" s="312"/>
      <c r="K22" s="560"/>
      <c r="L22" s="552"/>
      <c r="M22" s="172" t="b">
        <f>IF(_xlfn.XLOOKUP(BB22,Tabel2[Locatiecode],Tabel2[Type locatie],"",0)="vaccin",TRUE,FALSE)</f>
        <v>0</v>
      </c>
      <c r="BB22" s="272" t="str">
        <f>IF(Ruimtestaat!BC22="","",Ruimtestaat!BC22)</f>
        <v>ALK-HAW</v>
      </c>
      <c r="BC22" s="273">
        <f t="shared" si="0"/>
        <v>204</v>
      </c>
      <c r="BD22" s="274">
        <f ca="1">Ruimtestaat!D22*$BC22</f>
        <v>0</v>
      </c>
      <c r="BE22" s="275">
        <f ca="1">Ruimtestaat!E22*$BC22</f>
        <v>0</v>
      </c>
      <c r="BF22" s="275">
        <f ca="1">Ruimtestaat!F22*$BC22</f>
        <v>0</v>
      </c>
      <c r="BG22" s="275">
        <f ca="1">Ruimtestaat!G22*$BC22</f>
        <v>0</v>
      </c>
      <c r="BH22" s="275">
        <f ca="1">Ruimtestaat!H22*$BC22</f>
        <v>0</v>
      </c>
      <c r="BI22" s="276">
        <f ca="1">Ruimtestaat!I22*$BC22</f>
        <v>0</v>
      </c>
      <c r="BJ22" s="277">
        <f ca="1">Ruimtestaat!J22*$BC22</f>
        <v>0</v>
      </c>
      <c r="BK22" s="552"/>
      <c r="BR22" s="272" t="str">
        <f>IF(Ruimtestaat!BC22="","",Ruimtestaat!BC22)</f>
        <v>ALK-HAW</v>
      </c>
      <c r="BS22" s="273">
        <f t="shared" si="1"/>
        <v>204</v>
      </c>
      <c r="BT22" s="274" t="str">
        <f ca="1">IF(BD22&gt;0,IF(ISNUMBER(Schoonmaaknormen!D22),Schoonmaaknormen!BD22/Schoonmaaknormen!D22,0),"")</f>
        <v/>
      </c>
      <c r="BU22" s="275" t="str">
        <f ca="1">IF(BE22&gt;0,IF(ISNUMBER(Schoonmaaknormen!E22),Schoonmaaknormen!BE22/Schoonmaaknormen!E22,0),"")</f>
        <v/>
      </c>
      <c r="BV22" s="275" t="str">
        <f ca="1">IF(BF22&gt;0,IF(ISNUMBER(Schoonmaaknormen!F22),Schoonmaaknormen!BF22/Schoonmaaknormen!F22,0),"")</f>
        <v/>
      </c>
      <c r="BW22" s="275" t="str">
        <f ca="1">IF(BG22&gt;0,IF(ISNUMBER(Schoonmaaknormen!G22),Schoonmaaknormen!BG22/Schoonmaaknormen!G22,0),"")</f>
        <v/>
      </c>
      <c r="BX22" s="275" t="str">
        <f ca="1">IF(BH22&gt;0,IF(ISNUMBER(Schoonmaaknormen!H22),Schoonmaaknormen!BH22/Schoonmaaknormen!H22,0),"")</f>
        <v/>
      </c>
      <c r="BY22" s="275" t="str">
        <f ca="1">IF(BI22&gt;0,IF(ISNUMBER(Schoonmaaknormen!I22),Schoonmaaknormen!BI22/Schoonmaaknormen!I22,0),"")</f>
        <v/>
      </c>
      <c r="BZ22" s="275" t="str">
        <f ca="1">IF(BJ22&gt;0,IF(ISNUMBER(Schoonmaaknormen!J22),Schoonmaaknormen!BJ22/Schoonmaaknormen!J22,0),"")</f>
        <v/>
      </c>
      <c r="CA22" s="548"/>
      <c r="CB22" s="552"/>
    </row>
    <row r="23" spans="1:80" ht="0.2" customHeight="1" x14ac:dyDescent="0.2">
      <c r="A23" s="172">
        <f ca="1">Ruimtestaat!A23</f>
        <v>2</v>
      </c>
      <c r="B23" s="557"/>
      <c r="C23" s="11">
        <v>156</v>
      </c>
      <c r="D23" s="309"/>
      <c r="E23" s="310"/>
      <c r="F23" s="310"/>
      <c r="G23" s="310"/>
      <c r="H23" s="310"/>
      <c r="I23" s="312"/>
      <c r="J23" s="312"/>
      <c r="K23" s="560"/>
      <c r="L23" s="552"/>
      <c r="M23" s="172" t="b">
        <f>IF(_xlfn.XLOOKUP(BB23,Tabel2[Locatiecode],Tabel2[Type locatie],"",0)="vaccin",TRUE,FALSE)</f>
        <v>0</v>
      </c>
      <c r="BB23" s="272" t="str">
        <f>IF(Ruimtestaat!BC23="","",Ruimtestaat!BC23)</f>
        <v>ALK-HAW</v>
      </c>
      <c r="BC23" s="273">
        <f t="shared" si="0"/>
        <v>156</v>
      </c>
      <c r="BD23" s="274">
        <f ca="1">Ruimtestaat!D23*$BC23</f>
        <v>0</v>
      </c>
      <c r="BE23" s="275">
        <f ca="1">Ruimtestaat!E23*$BC23</f>
        <v>0</v>
      </c>
      <c r="BF23" s="275">
        <f ca="1">Ruimtestaat!F23*$BC23</f>
        <v>0</v>
      </c>
      <c r="BG23" s="275">
        <f ca="1">Ruimtestaat!G23*$BC23</f>
        <v>0</v>
      </c>
      <c r="BH23" s="275">
        <f ca="1">Ruimtestaat!H23*$BC23</f>
        <v>0</v>
      </c>
      <c r="BI23" s="276">
        <f ca="1">Ruimtestaat!I23*$BC23</f>
        <v>0</v>
      </c>
      <c r="BJ23" s="277">
        <f ca="1">Ruimtestaat!J23*$BC23</f>
        <v>0</v>
      </c>
      <c r="BK23" s="552"/>
      <c r="BR23" s="272" t="str">
        <f>IF(Ruimtestaat!BC23="","",Ruimtestaat!BC23)</f>
        <v>ALK-HAW</v>
      </c>
      <c r="BS23" s="273">
        <f t="shared" si="1"/>
        <v>156</v>
      </c>
      <c r="BT23" s="274" t="str">
        <f ca="1">IF(BD23&gt;0,IF(ISNUMBER(Schoonmaaknormen!D23),Schoonmaaknormen!BD23/Schoonmaaknormen!D23,0),"")</f>
        <v/>
      </c>
      <c r="BU23" s="275" t="str">
        <f ca="1">IF(BE23&gt;0,IF(ISNUMBER(Schoonmaaknormen!E23),Schoonmaaknormen!BE23/Schoonmaaknormen!E23,0),"")</f>
        <v/>
      </c>
      <c r="BV23" s="275" t="str">
        <f ca="1">IF(BF23&gt;0,IF(ISNUMBER(Schoonmaaknormen!F23),Schoonmaaknormen!BF23/Schoonmaaknormen!F23,0),"")</f>
        <v/>
      </c>
      <c r="BW23" s="275" t="str">
        <f ca="1">IF(BG23&gt;0,IF(ISNUMBER(Schoonmaaknormen!G23),Schoonmaaknormen!BG23/Schoonmaaknormen!G23,0),"")</f>
        <v/>
      </c>
      <c r="BX23" s="275" t="str">
        <f ca="1">IF(BH23&gt;0,IF(ISNUMBER(Schoonmaaknormen!H23),Schoonmaaknormen!BH23/Schoonmaaknormen!H23,0),"")</f>
        <v/>
      </c>
      <c r="BY23" s="275" t="str">
        <f ca="1">IF(BI23&gt;0,IF(ISNUMBER(Schoonmaaknormen!I23),Schoonmaaknormen!BI23/Schoonmaaknormen!I23,0),"")</f>
        <v/>
      </c>
      <c r="BZ23" s="275" t="str">
        <f ca="1">IF(BJ23&gt;0,IF(ISNUMBER(Schoonmaaknormen!J23),Schoonmaaknormen!BJ23/Schoonmaaknormen!J23,0),"")</f>
        <v/>
      </c>
      <c r="CA23" s="548"/>
      <c r="CB23" s="552"/>
    </row>
    <row r="24" spans="1:80" ht="0.2" customHeight="1" x14ac:dyDescent="0.2">
      <c r="A24" s="172">
        <f ca="1">Ruimtestaat!A24</f>
        <v>2</v>
      </c>
      <c r="B24" s="557"/>
      <c r="C24" s="11">
        <v>104</v>
      </c>
      <c r="D24" s="309"/>
      <c r="E24" s="310"/>
      <c r="F24" s="310"/>
      <c r="G24" s="310"/>
      <c r="H24" s="310"/>
      <c r="I24" s="312"/>
      <c r="J24" s="312"/>
      <c r="K24" s="561"/>
      <c r="L24" s="553"/>
      <c r="M24" s="172" t="b">
        <f>IF(_xlfn.XLOOKUP(BB24,Tabel2[Locatiecode],Tabel2[Type locatie],"",0)="vaccin",TRUE,FALSE)</f>
        <v>0</v>
      </c>
      <c r="BB24" s="278" t="str">
        <f>IF(Ruimtestaat!BC24="","",Ruimtestaat!BC24)</f>
        <v>ALK-HAW</v>
      </c>
      <c r="BC24" s="279">
        <f t="shared" si="0"/>
        <v>104</v>
      </c>
      <c r="BD24" s="280">
        <f ca="1">Ruimtestaat!D24*$BC24</f>
        <v>0</v>
      </c>
      <c r="BE24" s="281">
        <f ca="1">Ruimtestaat!E24*$BC24</f>
        <v>0</v>
      </c>
      <c r="BF24" s="281">
        <f ca="1">Ruimtestaat!F24*$BC24</f>
        <v>0</v>
      </c>
      <c r="BG24" s="281">
        <f ca="1">Ruimtestaat!G24*$BC24</f>
        <v>0</v>
      </c>
      <c r="BH24" s="281">
        <f ca="1">Ruimtestaat!H24*$BC24</f>
        <v>0</v>
      </c>
      <c r="BI24" s="282">
        <f ca="1">Ruimtestaat!I24*$BC24</f>
        <v>0</v>
      </c>
      <c r="BJ24" s="283">
        <f ca="1">Ruimtestaat!J24*$BC24</f>
        <v>0</v>
      </c>
      <c r="BK24" s="553"/>
      <c r="BR24" s="278" t="str">
        <f>IF(Ruimtestaat!BC24="","",Ruimtestaat!BC24)</f>
        <v>ALK-HAW</v>
      </c>
      <c r="BS24" s="313">
        <f t="shared" si="1"/>
        <v>104</v>
      </c>
      <c r="BT24" s="280" t="str">
        <f ca="1">IF(BD24&gt;0,IF(ISNUMBER(Schoonmaaknormen!D24),Schoonmaaknormen!BD24/Schoonmaaknormen!D24,0),"")</f>
        <v/>
      </c>
      <c r="BU24" s="314" t="str">
        <f ca="1">IF(BE24&gt;0,IF(ISNUMBER(Schoonmaaknormen!E24),Schoonmaaknormen!BE24/Schoonmaaknormen!E24,0),"")</f>
        <v/>
      </c>
      <c r="BV24" s="314" t="str">
        <f ca="1">IF(BF24&gt;0,IF(ISNUMBER(Schoonmaaknormen!F24),Schoonmaaknormen!BF24/Schoonmaaknormen!F24,0),"")</f>
        <v/>
      </c>
      <c r="BW24" s="314" t="str">
        <f ca="1">IF(BG24&gt;0,IF(ISNUMBER(Schoonmaaknormen!G24),Schoonmaaknormen!BG24/Schoonmaaknormen!G24,0),"")</f>
        <v/>
      </c>
      <c r="BX24" s="314" t="str">
        <f ca="1">IF(BH24&gt;0,IF(ISNUMBER(Schoonmaaknormen!H24),Schoonmaaknormen!BH24/Schoonmaaknormen!H24,0),"")</f>
        <v/>
      </c>
      <c r="BY24" s="314" t="str">
        <f ca="1">IF(BI24&gt;0,IF(ISNUMBER(Schoonmaaknormen!I24),Schoonmaaknormen!BI24/Schoonmaaknormen!I24,0),"")</f>
        <v/>
      </c>
      <c r="BZ24" s="314" t="str">
        <f ca="1">IF(BJ24&gt;0,IF(ISNUMBER(Schoonmaaknormen!J24),Schoonmaaknormen!BJ24/Schoonmaaknormen!J24,0),"")</f>
        <v/>
      </c>
      <c r="CA24" s="549"/>
      <c r="CB24" s="553"/>
    </row>
    <row r="25" spans="1:80" ht="0.2" customHeight="1" x14ac:dyDescent="0.2">
      <c r="A25" s="172">
        <f ca="1">Ruimtestaat!A25</f>
        <v>2</v>
      </c>
      <c r="B25" s="557"/>
      <c r="C25" s="11">
        <v>52</v>
      </c>
      <c r="D25" s="309"/>
      <c r="E25" s="310"/>
      <c r="F25" s="310"/>
      <c r="G25" s="310"/>
      <c r="H25" s="310"/>
      <c r="I25" s="312"/>
      <c r="J25" s="312"/>
      <c r="K25" s="561"/>
      <c r="L25" s="553"/>
      <c r="M25" s="172" t="b">
        <f>IF(_xlfn.XLOOKUP(BB25,Tabel2[Locatiecode],Tabel2[Type locatie],"",0)="vaccin",TRUE,FALSE)</f>
        <v>0</v>
      </c>
      <c r="BB25" s="284" t="str">
        <f>IF(Ruimtestaat!BC25="","",Ruimtestaat!BC25)</f>
        <v>ALK-HAW</v>
      </c>
      <c r="BC25" s="285">
        <f t="shared" si="0"/>
        <v>52</v>
      </c>
      <c r="BD25" s="286">
        <f ca="1">Ruimtestaat!D25*$BC25</f>
        <v>0</v>
      </c>
      <c r="BE25" s="287">
        <f ca="1">Ruimtestaat!E25*$BC25</f>
        <v>0</v>
      </c>
      <c r="BF25" s="287">
        <f ca="1">Ruimtestaat!F25*$BC25</f>
        <v>0</v>
      </c>
      <c r="BG25" s="287">
        <f ca="1">Ruimtestaat!G25*$BC25</f>
        <v>0</v>
      </c>
      <c r="BH25" s="287">
        <f ca="1">Ruimtestaat!H25*$BC25</f>
        <v>0</v>
      </c>
      <c r="BI25" s="288">
        <f ca="1">Ruimtestaat!I25*$BC25</f>
        <v>0</v>
      </c>
      <c r="BJ25" s="289">
        <f ca="1">Ruimtestaat!J25*$BC25</f>
        <v>0</v>
      </c>
      <c r="BK25" s="553"/>
      <c r="BR25" s="284" t="str">
        <f>IF(Ruimtestaat!BC25="","",Ruimtestaat!BC25)</f>
        <v>ALK-HAW</v>
      </c>
      <c r="BS25" s="285">
        <f t="shared" si="1"/>
        <v>52</v>
      </c>
      <c r="BT25" s="286" t="str">
        <f ca="1">IF(BD25&gt;0,IF(ISNUMBER(Schoonmaaknormen!D25),Schoonmaaknormen!BD25/Schoonmaaknormen!D25,0),"")</f>
        <v/>
      </c>
      <c r="BU25" s="287" t="str">
        <f ca="1">IF(BE25&gt;0,IF(ISNUMBER(Schoonmaaknormen!E25),Schoonmaaknormen!BE25/Schoonmaaknormen!E25,0),"")</f>
        <v/>
      </c>
      <c r="BV25" s="287" t="str">
        <f ca="1">IF(BF25&gt;0,IF(ISNUMBER(Schoonmaaknormen!F25),Schoonmaaknormen!BF25/Schoonmaaknormen!F25,0),"")</f>
        <v/>
      </c>
      <c r="BW25" s="287" t="str">
        <f ca="1">IF(BG25&gt;0,IF(ISNUMBER(Schoonmaaknormen!G25),Schoonmaaknormen!BG25/Schoonmaaknormen!G25,0),"")</f>
        <v/>
      </c>
      <c r="BX25" s="287" t="str">
        <f ca="1">IF(BH25&gt;0,IF(ISNUMBER(Schoonmaaknormen!H25),Schoonmaaknormen!BH25/Schoonmaaknormen!H25,0),"")</f>
        <v/>
      </c>
      <c r="BY25" s="287" t="str">
        <f ca="1">IF(BI25&gt;0,IF(ISNUMBER(Schoonmaaknormen!I25),Schoonmaaknormen!BI25/Schoonmaaknormen!I25,0),"")</f>
        <v/>
      </c>
      <c r="BZ25" s="287" t="str">
        <f ca="1">IF(BJ25&gt;0,IF(ISNUMBER(Schoonmaaknormen!J25),Schoonmaaknormen!BJ25/Schoonmaaknormen!J25,0),"")</f>
        <v/>
      </c>
      <c r="CA25" s="549"/>
      <c r="CB25" s="553"/>
    </row>
    <row r="26" spans="1:80" ht="0.2" customHeight="1" x14ac:dyDescent="0.2">
      <c r="A26" s="172">
        <f ca="1">Ruimtestaat!A26</f>
        <v>2</v>
      </c>
      <c r="B26" s="558"/>
      <c r="C26" s="290">
        <v>4</v>
      </c>
      <c r="D26" s="186"/>
      <c r="E26" s="187"/>
      <c r="F26" s="187"/>
      <c r="G26" s="187"/>
      <c r="H26" s="187"/>
      <c r="I26" s="189"/>
      <c r="J26" s="189"/>
      <c r="K26" s="562"/>
      <c r="L26" s="554"/>
      <c r="M26" s="172" t="b">
        <f>IF(_xlfn.XLOOKUP(BB26,Tabel2[Locatiecode],Tabel2[Type locatie],"",0)="vaccin",TRUE,FALSE)</f>
        <v>0</v>
      </c>
      <c r="BB26" s="291" t="str">
        <f>IF(Ruimtestaat!BC26="","",Ruimtestaat!BC26)</f>
        <v>ALK-HAW</v>
      </c>
      <c r="BC26" s="292">
        <f t="shared" si="0"/>
        <v>4</v>
      </c>
      <c r="BD26" s="293">
        <f ca="1">Ruimtestaat!D26*$BC26</f>
        <v>0</v>
      </c>
      <c r="BE26" s="294">
        <f ca="1">Ruimtestaat!E26*$BC26</f>
        <v>0</v>
      </c>
      <c r="BF26" s="294">
        <f ca="1">Ruimtestaat!F26*$BC26</f>
        <v>0</v>
      </c>
      <c r="BG26" s="294">
        <f ca="1">Ruimtestaat!G26*$BC26</f>
        <v>0</v>
      </c>
      <c r="BH26" s="294">
        <f ca="1">Ruimtestaat!H26*$BC26</f>
        <v>0</v>
      </c>
      <c r="BI26" s="295">
        <f ca="1">Ruimtestaat!I26*$BC26</f>
        <v>0</v>
      </c>
      <c r="BJ26" s="296">
        <f ca="1">Ruimtestaat!J26*$BC26</f>
        <v>0</v>
      </c>
      <c r="BK26" s="554"/>
      <c r="BR26" s="291" t="str">
        <f>IF(Ruimtestaat!BC26="","",Ruimtestaat!BC26)</f>
        <v>ALK-HAW</v>
      </c>
      <c r="BS26" s="292">
        <f t="shared" si="1"/>
        <v>4</v>
      </c>
      <c r="BT26" s="293" t="str">
        <f ca="1">IF(BD26&gt;0,IF(ISNUMBER(Schoonmaaknormen!D26),Schoonmaaknormen!BD26/Schoonmaaknormen!D26,0),"")</f>
        <v/>
      </c>
      <c r="BU26" s="294" t="str">
        <f ca="1">IF(BE26&gt;0,IF(ISNUMBER(Schoonmaaknormen!E26),Schoonmaaknormen!BE26/Schoonmaaknormen!E26,0),"")</f>
        <v/>
      </c>
      <c r="BV26" s="294" t="str">
        <f ca="1">IF(BF26&gt;0,IF(ISNUMBER(Schoonmaaknormen!F26),Schoonmaaknormen!BF26/Schoonmaaknormen!F26,0),"")</f>
        <v/>
      </c>
      <c r="BW26" s="294" t="str">
        <f ca="1">IF(BG26&gt;0,IF(ISNUMBER(Schoonmaaknormen!G26),Schoonmaaknormen!BG26/Schoonmaaknormen!G26,0),"")</f>
        <v/>
      </c>
      <c r="BX26" s="294" t="str">
        <f ca="1">IF(BH26&gt;0,IF(ISNUMBER(Schoonmaaknormen!H26),Schoonmaaknormen!BH26/Schoonmaaknormen!H26,0),"")</f>
        <v/>
      </c>
      <c r="BY26" s="294" t="str">
        <f ca="1">IF(BI26&gt;0,IF(ISNUMBER(Schoonmaaknormen!I26),Schoonmaaknormen!BI26/Schoonmaaknormen!I26,0),"")</f>
        <v/>
      </c>
      <c r="BZ26" s="294" t="str">
        <f ca="1">IF(BJ26&gt;0,IF(ISNUMBER(Schoonmaaknormen!J26),Schoonmaaknormen!BJ26/Schoonmaaknormen!J26,0),"")</f>
        <v/>
      </c>
      <c r="CA26" s="555"/>
      <c r="CB26" s="554"/>
    </row>
    <row r="27" spans="1:80" ht="15" customHeight="1" x14ac:dyDescent="0.2">
      <c r="A27" s="172">
        <f ca="1">Ruimtestaat!A27</f>
        <v>1</v>
      </c>
      <c r="B27" s="556" t="str">
        <f>BB27</f>
        <v>ALK-MWS</v>
      </c>
      <c r="C27" s="298">
        <v>255</v>
      </c>
      <c r="D27" s="299"/>
      <c r="E27" s="300"/>
      <c r="F27" s="300"/>
      <c r="G27" s="300"/>
      <c r="H27" s="300"/>
      <c r="I27" s="302"/>
      <c r="J27" s="302"/>
      <c r="K27" s="559"/>
      <c r="L27" s="551" t="str" cm="1">
        <f t="array" aca="1" ref="L27" ca="1">_xlfn.IFS(A27=2,"",COUNTBLANK(D27:J32)=COUNTIF(Ruimtestaat!D27:J32,"&lt;=0"),BK27/CB27,TRUE,"")</f>
        <v/>
      </c>
      <c r="M27" s="172" t="b">
        <f>IF(_xlfn.XLOOKUP(BB27,Tabel2[Locatiecode],Tabel2[Type locatie],"",0)="vaccin",TRUE,FALSE)</f>
        <v>0</v>
      </c>
      <c r="BB27" s="303" t="str">
        <f>IF(Ruimtestaat!BC27="","",Ruimtestaat!BC27)</f>
        <v>ALK-MWS</v>
      </c>
      <c r="BC27" s="304">
        <f t="shared" si="0"/>
        <v>255</v>
      </c>
      <c r="BD27" s="305">
        <f ca="1">Ruimtestaat!D27*$BC27</f>
        <v>11220</v>
      </c>
      <c r="BE27" s="306">
        <f ca="1">Ruimtestaat!E27*$BC27</f>
        <v>24480</v>
      </c>
      <c r="BF27" s="306">
        <f ca="1">Ruimtestaat!F27*$BC27</f>
        <v>44446.499999999993</v>
      </c>
      <c r="BG27" s="306">
        <f ca="1">Ruimtestaat!G27*$BC27</f>
        <v>2142</v>
      </c>
      <c r="BH27" s="306">
        <f ca="1">Ruimtestaat!H27*$BC27</f>
        <v>1657.5</v>
      </c>
      <c r="BI27" s="307">
        <f ca="1">Ruimtestaat!I27*$BC27</f>
        <v>20553</v>
      </c>
      <c r="BJ27" s="308">
        <f ca="1">Ruimtestaat!J27*$BC27</f>
        <v>0</v>
      </c>
      <c r="BK27" s="552">
        <f ca="1">SUM(BD27:BJ32)</f>
        <v>104499</v>
      </c>
      <c r="BR27" s="303" t="str">
        <f>IF(Ruimtestaat!BC27="","",Ruimtestaat!BC27)</f>
        <v>ALK-MWS</v>
      </c>
      <c r="BS27" s="304">
        <f t="shared" si="1"/>
        <v>255</v>
      </c>
      <c r="BT27" s="305">
        <f ca="1">IF(BD27&gt;0,IF(ISNUMBER(Schoonmaaknormen!D27),Schoonmaaknormen!BD27/Schoonmaaknormen!D27,0),"")</f>
        <v>0</v>
      </c>
      <c r="BU27" s="306">
        <f ca="1">IF(BE27&gt;0,IF(ISNUMBER(Schoonmaaknormen!E27),Schoonmaaknormen!BE27/Schoonmaaknormen!E27,0),"")</f>
        <v>0</v>
      </c>
      <c r="BV27" s="306">
        <f ca="1">IF(BF27&gt;0,IF(ISNUMBER(Schoonmaaknormen!F27),Schoonmaaknormen!BF27/Schoonmaaknormen!F27,0),"")</f>
        <v>0</v>
      </c>
      <c r="BW27" s="306">
        <f ca="1">IF(BG27&gt;0,IF(ISNUMBER(Schoonmaaknormen!G27),Schoonmaaknormen!BG27/Schoonmaaknormen!G27,0),"")</f>
        <v>0</v>
      </c>
      <c r="BX27" s="306">
        <f ca="1">IF(BH27&gt;0,IF(ISNUMBER(Schoonmaaknormen!H27),Schoonmaaknormen!BH27/Schoonmaaknormen!H27,0),"")</f>
        <v>0</v>
      </c>
      <c r="BY27" s="306">
        <f ca="1">IF(BI27&gt;0,IF(ISNUMBER(Schoonmaaknormen!I27),Schoonmaaknormen!BI27/Schoonmaaknormen!I27,0),"")</f>
        <v>0</v>
      </c>
      <c r="BZ27" s="306" t="str">
        <f ca="1">IF(BJ27&gt;0,IF(ISNUMBER(Schoonmaaknormen!J27),Schoonmaaknormen!BJ27/Schoonmaaknormen!J27,0),"")</f>
        <v/>
      </c>
      <c r="CA27" s="547" t="str" cm="1">
        <f t="array" ref="CA27">IF(ISNUMBER(K27),IF(SUM(BT27:BZ32)/LARGE(_xlfn._xlws.FILTER(Ruimtestaat!BD:BD,Ruimtestaat!BC:BC=BR27),1)&lt;K27,K27*LARGE(_xlfn._xlws.FILTER(Ruimtestaat!BD:BD,Ruimtestaat!BC:BC=BR27),1)-SUM(BT27:BZ32),0),"")</f>
        <v/>
      </c>
      <c r="CB27" s="551">
        <f ca="1">SUM(BT27:CA32)</f>
        <v>0</v>
      </c>
    </row>
    <row r="28" spans="1:80" ht="0.2" customHeight="1" x14ac:dyDescent="0.2">
      <c r="A28" s="172">
        <f ca="1">Ruimtestaat!A28</f>
        <v>2</v>
      </c>
      <c r="B28" s="557"/>
      <c r="C28" s="11">
        <v>204</v>
      </c>
      <c r="D28" s="309"/>
      <c r="E28" s="310"/>
      <c r="F28" s="310"/>
      <c r="G28" s="310"/>
      <c r="H28" s="310"/>
      <c r="I28" s="312"/>
      <c r="J28" s="312"/>
      <c r="K28" s="560"/>
      <c r="L28" s="552"/>
      <c r="M28" s="172" t="b">
        <f>IF(_xlfn.XLOOKUP(BB28,Tabel2[Locatiecode],Tabel2[Type locatie],"",0)="vaccin",TRUE,FALSE)</f>
        <v>0</v>
      </c>
      <c r="BB28" s="272" t="str">
        <f>IF(Ruimtestaat!BC28="","",Ruimtestaat!BC28)</f>
        <v>ALK-MWS</v>
      </c>
      <c r="BC28" s="273">
        <f t="shared" si="0"/>
        <v>204</v>
      </c>
      <c r="BD28" s="274">
        <f ca="1">Ruimtestaat!D28*$BC28</f>
        <v>0</v>
      </c>
      <c r="BE28" s="275">
        <f ca="1">Ruimtestaat!E28*$BC28</f>
        <v>0</v>
      </c>
      <c r="BF28" s="275">
        <f ca="1">Ruimtestaat!F28*$BC28</f>
        <v>0</v>
      </c>
      <c r="BG28" s="275">
        <f ca="1">Ruimtestaat!G28*$BC28</f>
        <v>0</v>
      </c>
      <c r="BH28" s="275">
        <f ca="1">Ruimtestaat!H28*$BC28</f>
        <v>0</v>
      </c>
      <c r="BI28" s="276">
        <f ca="1">Ruimtestaat!I28*$BC28</f>
        <v>0</v>
      </c>
      <c r="BJ28" s="277">
        <f ca="1">Ruimtestaat!J28*$BC28</f>
        <v>0</v>
      </c>
      <c r="BK28" s="552"/>
      <c r="BR28" s="272" t="str">
        <f>IF(Ruimtestaat!BC28="","",Ruimtestaat!BC28)</f>
        <v>ALK-MWS</v>
      </c>
      <c r="BS28" s="273">
        <f t="shared" si="1"/>
        <v>204</v>
      </c>
      <c r="BT28" s="274" t="str">
        <f ca="1">IF(BD28&gt;0,IF(ISNUMBER(Schoonmaaknormen!D28),Schoonmaaknormen!BD28/Schoonmaaknormen!D28,0),"")</f>
        <v/>
      </c>
      <c r="BU28" s="275" t="str">
        <f ca="1">IF(BE28&gt;0,IF(ISNUMBER(Schoonmaaknormen!E28),Schoonmaaknormen!BE28/Schoonmaaknormen!E28,0),"")</f>
        <v/>
      </c>
      <c r="BV28" s="275" t="str">
        <f ca="1">IF(BF28&gt;0,IF(ISNUMBER(Schoonmaaknormen!F28),Schoonmaaknormen!BF28/Schoonmaaknormen!F28,0),"")</f>
        <v/>
      </c>
      <c r="BW28" s="275" t="str">
        <f ca="1">IF(BG28&gt;0,IF(ISNUMBER(Schoonmaaknormen!G28),Schoonmaaknormen!BG28/Schoonmaaknormen!G28,0),"")</f>
        <v/>
      </c>
      <c r="BX28" s="275" t="str">
        <f ca="1">IF(BH28&gt;0,IF(ISNUMBER(Schoonmaaknormen!H28),Schoonmaaknormen!BH28/Schoonmaaknormen!H28,0),"")</f>
        <v/>
      </c>
      <c r="BY28" s="275" t="str">
        <f ca="1">IF(BI28&gt;0,IF(ISNUMBER(Schoonmaaknormen!I28),Schoonmaaknormen!BI28/Schoonmaaknormen!I28,0),"")</f>
        <v/>
      </c>
      <c r="BZ28" s="275" t="str">
        <f ca="1">IF(BJ28&gt;0,IF(ISNUMBER(Schoonmaaknormen!J28),Schoonmaaknormen!BJ28/Schoonmaaknormen!J28,0),"")</f>
        <v/>
      </c>
      <c r="CA28" s="548"/>
      <c r="CB28" s="552"/>
    </row>
    <row r="29" spans="1:80" ht="0.2" customHeight="1" x14ac:dyDescent="0.2">
      <c r="A29" s="172">
        <f ca="1">Ruimtestaat!A29</f>
        <v>2</v>
      </c>
      <c r="B29" s="557"/>
      <c r="C29" s="11">
        <v>156</v>
      </c>
      <c r="D29" s="309"/>
      <c r="E29" s="310"/>
      <c r="F29" s="310"/>
      <c r="G29" s="310"/>
      <c r="H29" s="310"/>
      <c r="I29" s="312"/>
      <c r="J29" s="312"/>
      <c r="K29" s="560"/>
      <c r="L29" s="552"/>
      <c r="M29" s="172" t="b">
        <f>IF(_xlfn.XLOOKUP(BB29,Tabel2[Locatiecode],Tabel2[Type locatie],"",0)="vaccin",TRUE,FALSE)</f>
        <v>0</v>
      </c>
      <c r="BB29" s="272" t="str">
        <f>IF(Ruimtestaat!BC29="","",Ruimtestaat!BC29)</f>
        <v>ALK-MWS</v>
      </c>
      <c r="BC29" s="273">
        <f t="shared" si="0"/>
        <v>156</v>
      </c>
      <c r="BD29" s="274">
        <f ca="1">Ruimtestaat!D29*$BC29</f>
        <v>0</v>
      </c>
      <c r="BE29" s="275">
        <f ca="1">Ruimtestaat!E29*$BC29</f>
        <v>0</v>
      </c>
      <c r="BF29" s="275">
        <f ca="1">Ruimtestaat!F29*$BC29</f>
        <v>0</v>
      </c>
      <c r="BG29" s="275">
        <f ca="1">Ruimtestaat!G29*$BC29</f>
        <v>0</v>
      </c>
      <c r="BH29" s="275">
        <f ca="1">Ruimtestaat!H29*$BC29</f>
        <v>0</v>
      </c>
      <c r="BI29" s="276">
        <f ca="1">Ruimtestaat!I29*$BC29</f>
        <v>0</v>
      </c>
      <c r="BJ29" s="277">
        <f ca="1">Ruimtestaat!J29*$BC29</f>
        <v>0</v>
      </c>
      <c r="BK29" s="552"/>
      <c r="BR29" s="272" t="str">
        <f>IF(Ruimtestaat!BC29="","",Ruimtestaat!BC29)</f>
        <v>ALK-MWS</v>
      </c>
      <c r="BS29" s="273">
        <f t="shared" si="1"/>
        <v>156</v>
      </c>
      <c r="BT29" s="274" t="str">
        <f ca="1">IF(BD29&gt;0,IF(ISNUMBER(Schoonmaaknormen!D29),Schoonmaaknormen!BD29/Schoonmaaknormen!D29,0),"")</f>
        <v/>
      </c>
      <c r="BU29" s="275" t="str">
        <f ca="1">IF(BE29&gt;0,IF(ISNUMBER(Schoonmaaknormen!E29),Schoonmaaknormen!BE29/Schoonmaaknormen!E29,0),"")</f>
        <v/>
      </c>
      <c r="BV29" s="275" t="str">
        <f ca="1">IF(BF29&gt;0,IF(ISNUMBER(Schoonmaaknormen!F29),Schoonmaaknormen!BF29/Schoonmaaknormen!F29,0),"")</f>
        <v/>
      </c>
      <c r="BW29" s="275" t="str">
        <f ca="1">IF(BG29&gt;0,IF(ISNUMBER(Schoonmaaknormen!G29),Schoonmaaknormen!BG29/Schoonmaaknormen!G29,0),"")</f>
        <v/>
      </c>
      <c r="BX29" s="275" t="str">
        <f ca="1">IF(BH29&gt;0,IF(ISNUMBER(Schoonmaaknormen!H29),Schoonmaaknormen!BH29/Schoonmaaknormen!H29,0),"")</f>
        <v/>
      </c>
      <c r="BY29" s="275" t="str">
        <f ca="1">IF(BI29&gt;0,IF(ISNUMBER(Schoonmaaknormen!I29),Schoonmaaknormen!BI29/Schoonmaaknormen!I29,0),"")</f>
        <v/>
      </c>
      <c r="BZ29" s="275" t="str">
        <f ca="1">IF(BJ29&gt;0,IF(ISNUMBER(Schoonmaaknormen!J29),Schoonmaaknormen!BJ29/Schoonmaaknormen!J29,0),"")</f>
        <v/>
      </c>
      <c r="CA29" s="548"/>
      <c r="CB29" s="552"/>
    </row>
    <row r="30" spans="1:80" ht="0.2" customHeight="1" x14ac:dyDescent="0.2">
      <c r="A30" s="172">
        <f ca="1">Ruimtestaat!A30</f>
        <v>2</v>
      </c>
      <c r="B30" s="557"/>
      <c r="C30" s="11">
        <v>104</v>
      </c>
      <c r="D30" s="309"/>
      <c r="E30" s="310"/>
      <c r="F30" s="310"/>
      <c r="G30" s="310"/>
      <c r="H30" s="310"/>
      <c r="I30" s="312"/>
      <c r="J30" s="312"/>
      <c r="K30" s="561"/>
      <c r="L30" s="553"/>
      <c r="M30" s="172" t="b">
        <f>IF(_xlfn.XLOOKUP(BB30,Tabel2[Locatiecode],Tabel2[Type locatie],"",0)="vaccin",TRUE,FALSE)</f>
        <v>0</v>
      </c>
      <c r="BB30" s="278" t="str">
        <f>IF(Ruimtestaat!BC30="","",Ruimtestaat!BC30)</f>
        <v>ALK-MWS</v>
      </c>
      <c r="BC30" s="279">
        <f t="shared" si="0"/>
        <v>104</v>
      </c>
      <c r="BD30" s="280">
        <f ca="1">Ruimtestaat!D30*$BC30</f>
        <v>0</v>
      </c>
      <c r="BE30" s="281">
        <f ca="1">Ruimtestaat!E30*$BC30</f>
        <v>0</v>
      </c>
      <c r="BF30" s="281">
        <f ca="1">Ruimtestaat!F30*$BC30</f>
        <v>0</v>
      </c>
      <c r="BG30" s="281">
        <f ca="1">Ruimtestaat!G30*$BC30</f>
        <v>0</v>
      </c>
      <c r="BH30" s="281">
        <f ca="1">Ruimtestaat!H30*$BC30</f>
        <v>0</v>
      </c>
      <c r="BI30" s="282">
        <f ca="1">Ruimtestaat!I30*$BC30</f>
        <v>0</v>
      </c>
      <c r="BJ30" s="283">
        <f ca="1">Ruimtestaat!J30*$BC30</f>
        <v>0</v>
      </c>
      <c r="BK30" s="553"/>
      <c r="BR30" s="278" t="str">
        <f>IF(Ruimtestaat!BC30="","",Ruimtestaat!BC30)</f>
        <v>ALK-MWS</v>
      </c>
      <c r="BS30" s="313">
        <f t="shared" si="1"/>
        <v>104</v>
      </c>
      <c r="BT30" s="280" t="str">
        <f ca="1">IF(BD30&gt;0,IF(ISNUMBER(Schoonmaaknormen!D30),Schoonmaaknormen!BD30/Schoonmaaknormen!D30,0),"")</f>
        <v/>
      </c>
      <c r="BU30" s="314" t="str">
        <f ca="1">IF(BE30&gt;0,IF(ISNUMBER(Schoonmaaknormen!E30),Schoonmaaknormen!BE30/Schoonmaaknormen!E30,0),"")</f>
        <v/>
      </c>
      <c r="BV30" s="314" t="str">
        <f ca="1">IF(BF30&gt;0,IF(ISNUMBER(Schoonmaaknormen!F30),Schoonmaaknormen!BF30/Schoonmaaknormen!F30,0),"")</f>
        <v/>
      </c>
      <c r="BW30" s="314" t="str">
        <f ca="1">IF(BG30&gt;0,IF(ISNUMBER(Schoonmaaknormen!G30),Schoonmaaknormen!BG30/Schoonmaaknormen!G30,0),"")</f>
        <v/>
      </c>
      <c r="BX30" s="314" t="str">
        <f ca="1">IF(BH30&gt;0,IF(ISNUMBER(Schoonmaaknormen!H30),Schoonmaaknormen!BH30/Schoonmaaknormen!H30,0),"")</f>
        <v/>
      </c>
      <c r="BY30" s="314" t="str">
        <f ca="1">IF(BI30&gt;0,IF(ISNUMBER(Schoonmaaknormen!I30),Schoonmaaknormen!BI30/Schoonmaaknormen!I30,0),"")</f>
        <v/>
      </c>
      <c r="BZ30" s="314" t="str">
        <f ca="1">IF(BJ30&gt;0,IF(ISNUMBER(Schoonmaaknormen!J30),Schoonmaaknormen!BJ30/Schoonmaaknormen!J30,0),"")</f>
        <v/>
      </c>
      <c r="CA30" s="549"/>
      <c r="CB30" s="553"/>
    </row>
    <row r="31" spans="1:80" ht="0.2" customHeight="1" x14ac:dyDescent="0.2">
      <c r="A31" s="172">
        <f ca="1">Ruimtestaat!A31</f>
        <v>2</v>
      </c>
      <c r="B31" s="557"/>
      <c r="C31" s="11">
        <v>52</v>
      </c>
      <c r="D31" s="309"/>
      <c r="E31" s="310"/>
      <c r="F31" s="310"/>
      <c r="G31" s="310"/>
      <c r="H31" s="310"/>
      <c r="I31" s="312"/>
      <c r="J31" s="312"/>
      <c r="K31" s="561"/>
      <c r="L31" s="553"/>
      <c r="M31" s="172" t="b">
        <f>IF(_xlfn.XLOOKUP(BB31,Tabel2[Locatiecode],Tabel2[Type locatie],"",0)="vaccin",TRUE,FALSE)</f>
        <v>0</v>
      </c>
      <c r="BB31" s="284" t="str">
        <f>IF(Ruimtestaat!BC31="","",Ruimtestaat!BC31)</f>
        <v>ALK-MWS</v>
      </c>
      <c r="BC31" s="285">
        <f t="shared" si="0"/>
        <v>52</v>
      </c>
      <c r="BD31" s="286">
        <f ca="1">Ruimtestaat!D31*$BC31</f>
        <v>0</v>
      </c>
      <c r="BE31" s="287">
        <f ca="1">Ruimtestaat!E31*$BC31</f>
        <v>0</v>
      </c>
      <c r="BF31" s="287">
        <f ca="1">Ruimtestaat!F31*$BC31</f>
        <v>0</v>
      </c>
      <c r="BG31" s="287">
        <f ca="1">Ruimtestaat!G31*$BC31</f>
        <v>0</v>
      </c>
      <c r="BH31" s="287">
        <f ca="1">Ruimtestaat!H31*$BC31</f>
        <v>0</v>
      </c>
      <c r="BI31" s="288">
        <f ca="1">Ruimtestaat!I31*$BC31</f>
        <v>0</v>
      </c>
      <c r="BJ31" s="289">
        <f ca="1">Ruimtestaat!J31*$BC31</f>
        <v>0</v>
      </c>
      <c r="BK31" s="553"/>
      <c r="BR31" s="284" t="str">
        <f>IF(Ruimtestaat!BC31="","",Ruimtestaat!BC31)</f>
        <v>ALK-MWS</v>
      </c>
      <c r="BS31" s="285">
        <f t="shared" si="1"/>
        <v>52</v>
      </c>
      <c r="BT31" s="286" t="str">
        <f ca="1">IF(BD31&gt;0,IF(ISNUMBER(Schoonmaaknormen!D31),Schoonmaaknormen!BD31/Schoonmaaknormen!D31,0),"")</f>
        <v/>
      </c>
      <c r="BU31" s="287" t="str">
        <f ca="1">IF(BE31&gt;0,IF(ISNUMBER(Schoonmaaknormen!E31),Schoonmaaknormen!BE31/Schoonmaaknormen!E31,0),"")</f>
        <v/>
      </c>
      <c r="BV31" s="287" t="str">
        <f ca="1">IF(BF31&gt;0,IF(ISNUMBER(Schoonmaaknormen!F31),Schoonmaaknormen!BF31/Schoonmaaknormen!F31,0),"")</f>
        <v/>
      </c>
      <c r="BW31" s="287" t="str">
        <f ca="1">IF(BG31&gt;0,IF(ISNUMBER(Schoonmaaknormen!G31),Schoonmaaknormen!BG31/Schoonmaaknormen!G31,0),"")</f>
        <v/>
      </c>
      <c r="BX31" s="287" t="str">
        <f ca="1">IF(BH31&gt;0,IF(ISNUMBER(Schoonmaaknormen!H31),Schoonmaaknormen!BH31/Schoonmaaknormen!H31,0),"")</f>
        <v/>
      </c>
      <c r="BY31" s="287" t="str">
        <f ca="1">IF(BI31&gt;0,IF(ISNUMBER(Schoonmaaknormen!I31),Schoonmaaknormen!BI31/Schoonmaaknormen!I31,0),"")</f>
        <v/>
      </c>
      <c r="BZ31" s="287" t="str">
        <f ca="1">IF(BJ31&gt;0,IF(ISNUMBER(Schoonmaaknormen!J31),Schoonmaaknormen!BJ31/Schoonmaaknormen!J31,0),"")</f>
        <v/>
      </c>
      <c r="CA31" s="549"/>
      <c r="CB31" s="553"/>
    </row>
    <row r="32" spans="1:80" ht="0.2" customHeight="1" x14ac:dyDescent="0.2">
      <c r="A32" s="172">
        <f ca="1">Ruimtestaat!A32</f>
        <v>2</v>
      </c>
      <c r="B32" s="558"/>
      <c r="C32" s="290">
        <v>4</v>
      </c>
      <c r="D32" s="186"/>
      <c r="E32" s="187"/>
      <c r="F32" s="187"/>
      <c r="G32" s="187"/>
      <c r="H32" s="187"/>
      <c r="I32" s="189"/>
      <c r="J32" s="189"/>
      <c r="K32" s="562"/>
      <c r="L32" s="554"/>
      <c r="M32" s="172" t="b">
        <f>IF(_xlfn.XLOOKUP(BB32,Tabel2[Locatiecode],Tabel2[Type locatie],"",0)="vaccin",TRUE,FALSE)</f>
        <v>0</v>
      </c>
      <c r="BB32" s="291" t="str">
        <f>IF(Ruimtestaat!BC32="","",Ruimtestaat!BC32)</f>
        <v>ALK-MWS</v>
      </c>
      <c r="BC32" s="292">
        <f t="shared" si="0"/>
        <v>4</v>
      </c>
      <c r="BD32" s="293">
        <f ca="1">Ruimtestaat!D32*$BC32</f>
        <v>0</v>
      </c>
      <c r="BE32" s="294">
        <f ca="1">Ruimtestaat!E32*$BC32</f>
        <v>0</v>
      </c>
      <c r="BF32" s="294">
        <f ca="1">Ruimtestaat!F32*$BC32</f>
        <v>0</v>
      </c>
      <c r="BG32" s="294">
        <f ca="1">Ruimtestaat!G32*$BC32</f>
        <v>0</v>
      </c>
      <c r="BH32" s="294">
        <f ca="1">Ruimtestaat!H32*$BC32</f>
        <v>0</v>
      </c>
      <c r="BI32" s="295">
        <f ca="1">Ruimtestaat!I32*$BC32</f>
        <v>0</v>
      </c>
      <c r="BJ32" s="296">
        <f ca="1">Ruimtestaat!J32*$BC32</f>
        <v>0</v>
      </c>
      <c r="BK32" s="554"/>
      <c r="BR32" s="291" t="str">
        <f>IF(Ruimtestaat!BC32="","",Ruimtestaat!BC32)</f>
        <v>ALK-MWS</v>
      </c>
      <c r="BS32" s="292">
        <f t="shared" si="1"/>
        <v>4</v>
      </c>
      <c r="BT32" s="293" t="str">
        <f ca="1">IF(BD32&gt;0,IF(ISNUMBER(Schoonmaaknormen!D32),Schoonmaaknormen!BD32/Schoonmaaknormen!D32,0),"")</f>
        <v/>
      </c>
      <c r="BU32" s="294" t="str">
        <f ca="1">IF(BE32&gt;0,IF(ISNUMBER(Schoonmaaknormen!E32),Schoonmaaknormen!BE32/Schoonmaaknormen!E32,0),"")</f>
        <v/>
      </c>
      <c r="BV32" s="294" t="str">
        <f ca="1">IF(BF32&gt;0,IF(ISNUMBER(Schoonmaaknormen!F32),Schoonmaaknormen!BF32/Schoonmaaknormen!F32,0),"")</f>
        <v/>
      </c>
      <c r="BW32" s="294" t="str">
        <f ca="1">IF(BG32&gt;0,IF(ISNUMBER(Schoonmaaknormen!G32),Schoonmaaknormen!BG32/Schoonmaaknormen!G32,0),"")</f>
        <v/>
      </c>
      <c r="BX32" s="294" t="str">
        <f ca="1">IF(BH32&gt;0,IF(ISNUMBER(Schoonmaaknormen!H32),Schoonmaaknormen!BH32/Schoonmaaknormen!H32,0),"")</f>
        <v/>
      </c>
      <c r="BY32" s="294" t="str">
        <f ca="1">IF(BI32&gt;0,IF(ISNUMBER(Schoonmaaknormen!I32),Schoonmaaknormen!BI32/Schoonmaaknormen!I32,0),"")</f>
        <v/>
      </c>
      <c r="BZ32" s="294" t="str">
        <f ca="1">IF(BJ32&gt;0,IF(ISNUMBER(Schoonmaaknormen!J32),Schoonmaaknormen!BJ32/Schoonmaaknormen!J32,0),"")</f>
        <v/>
      </c>
      <c r="CA32" s="555"/>
      <c r="CB32" s="554"/>
    </row>
    <row r="33" spans="1:80" ht="15" customHeight="1" x14ac:dyDescent="0.2">
      <c r="A33" s="172">
        <f ca="1">Ruimtestaat!A33</f>
        <v>1</v>
      </c>
      <c r="B33" s="556" t="str">
        <f>BB33</f>
        <v>ALK-OLW</v>
      </c>
      <c r="C33" s="298">
        <v>255</v>
      </c>
      <c r="D33" s="299"/>
      <c r="E33" s="300"/>
      <c r="F33" s="300"/>
      <c r="G33" s="300"/>
      <c r="H33" s="300"/>
      <c r="I33" s="302"/>
      <c r="J33" s="302"/>
      <c r="K33" s="559"/>
      <c r="L33" s="551" t="str" cm="1">
        <f t="array" aca="1" ref="L33" ca="1">_xlfn.IFS(A33=2,"",COUNTBLANK(D33:J38)=COUNTIF(Ruimtestaat!D33:J38,"&lt;=0"),BK33/CB33,TRUE,"")</f>
        <v/>
      </c>
      <c r="M33" s="172" t="b">
        <f>IF(_xlfn.XLOOKUP(BB33,Tabel2[Locatiecode],Tabel2[Type locatie],"",0)="vaccin",TRUE,FALSE)</f>
        <v>1</v>
      </c>
      <c r="BB33" s="303" t="str">
        <f>IF(Ruimtestaat!BC33="","",Ruimtestaat!BC33)</f>
        <v>ALK-OLW</v>
      </c>
      <c r="BC33" s="304">
        <f t="shared" si="0"/>
        <v>255</v>
      </c>
      <c r="BD33" s="305">
        <f ca="1">Ruimtestaat!D33*$BC33</f>
        <v>0</v>
      </c>
      <c r="BE33" s="306">
        <f ca="1">Ruimtestaat!E33*$BC33</f>
        <v>22950</v>
      </c>
      <c r="BF33" s="306">
        <f ca="1">Ruimtestaat!F33*$BC33</f>
        <v>159757.5</v>
      </c>
      <c r="BG33" s="306">
        <f ca="1">Ruimtestaat!G33*$BC33</f>
        <v>63622.5</v>
      </c>
      <c r="BH33" s="306">
        <f ca="1">Ruimtestaat!H33*$BC33</f>
        <v>26775</v>
      </c>
      <c r="BI33" s="307">
        <f ca="1">Ruimtestaat!I33*$BC33</f>
        <v>105570</v>
      </c>
      <c r="BJ33" s="308">
        <f ca="1">Ruimtestaat!J33*$BC33</f>
        <v>0</v>
      </c>
      <c r="BK33" s="552">
        <f ca="1">SUM(BD33:BJ38)</f>
        <v>378675</v>
      </c>
      <c r="BR33" s="303" t="str">
        <f>IF(Ruimtestaat!BC33="","",Ruimtestaat!BC33)</f>
        <v>ALK-OLW</v>
      </c>
      <c r="BS33" s="304">
        <f t="shared" si="1"/>
        <v>255</v>
      </c>
      <c r="BT33" s="305" t="str">
        <f ca="1">IF(BD33&gt;0,IF(ISNUMBER(Schoonmaaknormen!D33),Schoonmaaknormen!BD33/Schoonmaaknormen!D33,0),"")</f>
        <v/>
      </c>
      <c r="BU33" s="306">
        <f ca="1">IF(BE33&gt;0,IF(ISNUMBER(Schoonmaaknormen!E33),Schoonmaaknormen!BE33/Schoonmaaknormen!E33,0),"")</f>
        <v>0</v>
      </c>
      <c r="BV33" s="306">
        <f ca="1">IF(BF33&gt;0,IF(ISNUMBER(Schoonmaaknormen!F33),Schoonmaaknormen!BF33/Schoonmaaknormen!F33,0),"")</f>
        <v>0</v>
      </c>
      <c r="BW33" s="306">
        <f ca="1">IF(BG33&gt;0,IF(ISNUMBER(Schoonmaaknormen!G33),Schoonmaaknormen!BG33/Schoonmaaknormen!G33,0),"")</f>
        <v>0</v>
      </c>
      <c r="BX33" s="306">
        <f ca="1">IF(BH33&gt;0,IF(ISNUMBER(Schoonmaaknormen!H33),Schoonmaaknormen!BH33/Schoonmaaknormen!H33,0),"")</f>
        <v>0</v>
      </c>
      <c r="BY33" s="306">
        <f ca="1">IF(BI33&gt;0,IF(ISNUMBER(Schoonmaaknormen!I33),Schoonmaaknormen!BI33/Schoonmaaknormen!I33,0),"")</f>
        <v>0</v>
      </c>
      <c r="BZ33" s="306" t="str">
        <f ca="1">IF(BJ33&gt;0,IF(ISNUMBER(Schoonmaaknormen!J33),Schoonmaaknormen!BJ33/Schoonmaaknormen!J33,0),"")</f>
        <v/>
      </c>
      <c r="CA33" s="547" t="str" cm="1">
        <f t="array" ref="CA33">IF(ISNUMBER(K33),IF(SUM(BT33:BZ38)/LARGE(_xlfn._xlws.FILTER(Ruimtestaat!BD:BD,Ruimtestaat!BC:BC=BR33),1)&lt;K33,K33*LARGE(_xlfn._xlws.FILTER(Ruimtestaat!BD:BD,Ruimtestaat!BC:BC=BR33),1)-SUM(BT33:BZ38),0),"")</f>
        <v/>
      </c>
      <c r="CB33" s="551">
        <f ca="1">SUM(BT33:CA38)</f>
        <v>0</v>
      </c>
    </row>
    <row r="34" spans="1:80" ht="0.2" customHeight="1" x14ac:dyDescent="0.2">
      <c r="A34" s="172">
        <f ca="1">Ruimtestaat!A34</f>
        <v>0</v>
      </c>
      <c r="B34" s="557"/>
      <c r="C34" s="11">
        <v>204</v>
      </c>
      <c r="D34" s="309"/>
      <c r="E34" s="310"/>
      <c r="F34" s="310"/>
      <c r="G34" s="310"/>
      <c r="H34" s="310"/>
      <c r="I34" s="312"/>
      <c r="J34" s="312"/>
      <c r="K34" s="560"/>
      <c r="L34" s="552"/>
      <c r="M34" s="172" t="b">
        <f>IF(_xlfn.XLOOKUP(BB34,Tabel2[Locatiecode],Tabel2[Type locatie],"",0)="vaccin",TRUE,FALSE)</f>
        <v>1</v>
      </c>
      <c r="BB34" s="272" t="str">
        <f>IF(Ruimtestaat!BC34="","",Ruimtestaat!BC34)</f>
        <v>ALK-OLW</v>
      </c>
      <c r="BC34" s="273">
        <f t="shared" si="0"/>
        <v>204</v>
      </c>
      <c r="BD34" s="274">
        <f ca="1">Ruimtestaat!D34*$BC34</f>
        <v>0</v>
      </c>
      <c r="BE34" s="275">
        <f ca="1">Ruimtestaat!E34*$BC34</f>
        <v>0</v>
      </c>
      <c r="BF34" s="275">
        <f ca="1">Ruimtestaat!F34*$BC34</f>
        <v>0</v>
      </c>
      <c r="BG34" s="275">
        <f ca="1">Ruimtestaat!G34*$BC34</f>
        <v>0</v>
      </c>
      <c r="BH34" s="275">
        <f ca="1">Ruimtestaat!H34*$BC34</f>
        <v>0</v>
      </c>
      <c r="BI34" s="276">
        <f ca="1">Ruimtestaat!I34*$BC34</f>
        <v>0</v>
      </c>
      <c r="BJ34" s="277">
        <f ca="1">Ruimtestaat!J34*$BC34</f>
        <v>0</v>
      </c>
      <c r="BK34" s="552"/>
      <c r="BR34" s="272" t="str">
        <f>IF(Ruimtestaat!BC34="","",Ruimtestaat!BC34)</f>
        <v>ALK-OLW</v>
      </c>
      <c r="BS34" s="273">
        <f t="shared" si="1"/>
        <v>204</v>
      </c>
      <c r="BT34" s="274" t="str">
        <f ca="1">IF(BD34&gt;0,IF(ISNUMBER(Schoonmaaknormen!D34),Schoonmaaknormen!BD34/Schoonmaaknormen!D34,0),"")</f>
        <v/>
      </c>
      <c r="BU34" s="275" t="str">
        <f ca="1">IF(BE34&gt;0,IF(ISNUMBER(Schoonmaaknormen!E34),Schoonmaaknormen!BE34/Schoonmaaknormen!E34,0),"")</f>
        <v/>
      </c>
      <c r="BV34" s="275" t="str">
        <f ca="1">IF(BF34&gt;0,IF(ISNUMBER(Schoonmaaknormen!F34),Schoonmaaknormen!BF34/Schoonmaaknormen!F34,0),"")</f>
        <v/>
      </c>
      <c r="BW34" s="275" t="str">
        <f ca="1">IF(BG34&gt;0,IF(ISNUMBER(Schoonmaaknormen!G34),Schoonmaaknormen!BG34/Schoonmaaknormen!G34,0),"")</f>
        <v/>
      </c>
      <c r="BX34" s="275" t="str">
        <f ca="1">IF(BH34&gt;0,IF(ISNUMBER(Schoonmaaknormen!H34),Schoonmaaknormen!BH34/Schoonmaaknormen!H34,0),"")</f>
        <v/>
      </c>
      <c r="BY34" s="275" t="str">
        <f ca="1">IF(BI34&gt;0,IF(ISNUMBER(Schoonmaaknormen!I34),Schoonmaaknormen!BI34/Schoonmaaknormen!I34,0),"")</f>
        <v/>
      </c>
      <c r="BZ34" s="275" t="str">
        <f ca="1">IF(BJ34&gt;0,IF(ISNUMBER(Schoonmaaknormen!J34),Schoonmaaknormen!BJ34/Schoonmaaknormen!J34,0),"")</f>
        <v/>
      </c>
      <c r="CA34" s="548"/>
      <c r="CB34" s="552"/>
    </row>
    <row r="35" spans="1:80" ht="0.2" customHeight="1" x14ac:dyDescent="0.2">
      <c r="A35" s="172">
        <f ca="1">Ruimtestaat!A35</f>
        <v>0</v>
      </c>
      <c r="B35" s="557"/>
      <c r="C35" s="11">
        <v>156</v>
      </c>
      <c r="D35" s="309"/>
      <c r="E35" s="310"/>
      <c r="F35" s="310"/>
      <c r="G35" s="310"/>
      <c r="H35" s="310"/>
      <c r="I35" s="312"/>
      <c r="J35" s="312"/>
      <c r="K35" s="560"/>
      <c r="L35" s="552"/>
      <c r="M35" s="172" t="b">
        <f>IF(_xlfn.XLOOKUP(BB35,Tabel2[Locatiecode],Tabel2[Type locatie],"",0)="vaccin",TRUE,FALSE)</f>
        <v>1</v>
      </c>
      <c r="BB35" s="272" t="str">
        <f>IF(Ruimtestaat!BC35="","",Ruimtestaat!BC35)</f>
        <v>ALK-OLW</v>
      </c>
      <c r="BC35" s="273">
        <f t="shared" si="0"/>
        <v>156</v>
      </c>
      <c r="BD35" s="274">
        <f ca="1">Ruimtestaat!D35*$BC35</f>
        <v>0</v>
      </c>
      <c r="BE35" s="275">
        <f ca="1">Ruimtestaat!E35*$BC35</f>
        <v>0</v>
      </c>
      <c r="BF35" s="275">
        <f ca="1">Ruimtestaat!F35*$BC35</f>
        <v>0</v>
      </c>
      <c r="BG35" s="275">
        <f ca="1">Ruimtestaat!G35*$BC35</f>
        <v>0</v>
      </c>
      <c r="BH35" s="275">
        <f ca="1">Ruimtestaat!H35*$BC35</f>
        <v>0</v>
      </c>
      <c r="BI35" s="276">
        <f ca="1">Ruimtestaat!I35*$BC35</f>
        <v>0</v>
      </c>
      <c r="BJ35" s="277">
        <f ca="1">Ruimtestaat!J35*$BC35</f>
        <v>0</v>
      </c>
      <c r="BK35" s="552"/>
      <c r="BR35" s="272" t="str">
        <f>IF(Ruimtestaat!BC35="","",Ruimtestaat!BC35)</f>
        <v>ALK-OLW</v>
      </c>
      <c r="BS35" s="273">
        <f t="shared" si="1"/>
        <v>156</v>
      </c>
      <c r="BT35" s="274" t="str">
        <f ca="1">IF(BD35&gt;0,IF(ISNUMBER(Schoonmaaknormen!D35),Schoonmaaknormen!BD35/Schoonmaaknormen!D35,0),"")</f>
        <v/>
      </c>
      <c r="BU35" s="275" t="str">
        <f ca="1">IF(BE35&gt;0,IF(ISNUMBER(Schoonmaaknormen!E35),Schoonmaaknormen!BE35/Schoonmaaknormen!E35,0),"")</f>
        <v/>
      </c>
      <c r="BV35" s="275" t="str">
        <f ca="1">IF(BF35&gt;0,IF(ISNUMBER(Schoonmaaknormen!F35),Schoonmaaknormen!BF35/Schoonmaaknormen!F35,0),"")</f>
        <v/>
      </c>
      <c r="BW35" s="275" t="str">
        <f ca="1">IF(BG35&gt;0,IF(ISNUMBER(Schoonmaaknormen!G35),Schoonmaaknormen!BG35/Schoonmaaknormen!G35,0),"")</f>
        <v/>
      </c>
      <c r="BX35" s="275" t="str">
        <f ca="1">IF(BH35&gt;0,IF(ISNUMBER(Schoonmaaknormen!H35),Schoonmaaknormen!BH35/Schoonmaaknormen!H35,0),"")</f>
        <v/>
      </c>
      <c r="BY35" s="275" t="str">
        <f ca="1">IF(BI35&gt;0,IF(ISNUMBER(Schoonmaaknormen!I35),Schoonmaaknormen!BI35/Schoonmaaknormen!I35,0),"")</f>
        <v/>
      </c>
      <c r="BZ35" s="275" t="str">
        <f ca="1">IF(BJ35&gt;0,IF(ISNUMBER(Schoonmaaknormen!J35),Schoonmaaknormen!BJ35/Schoonmaaknormen!J35,0),"")</f>
        <v/>
      </c>
      <c r="CA35" s="548"/>
      <c r="CB35" s="552"/>
    </row>
    <row r="36" spans="1:80" ht="0.2" customHeight="1" x14ac:dyDescent="0.2">
      <c r="A36" s="172">
        <f ca="1">Ruimtestaat!A36</f>
        <v>0</v>
      </c>
      <c r="B36" s="557"/>
      <c r="C36" s="11">
        <v>104</v>
      </c>
      <c r="D36" s="309"/>
      <c r="E36" s="310"/>
      <c r="F36" s="310"/>
      <c r="G36" s="310"/>
      <c r="H36" s="310"/>
      <c r="I36" s="312"/>
      <c r="J36" s="312"/>
      <c r="K36" s="561"/>
      <c r="L36" s="553"/>
      <c r="M36" s="172" t="b">
        <f>IF(_xlfn.XLOOKUP(BB36,Tabel2[Locatiecode],Tabel2[Type locatie],"",0)="vaccin",TRUE,FALSE)</f>
        <v>1</v>
      </c>
      <c r="BB36" s="278" t="str">
        <f>IF(Ruimtestaat!BC36="","",Ruimtestaat!BC36)</f>
        <v>ALK-OLW</v>
      </c>
      <c r="BC36" s="279">
        <f t="shared" si="0"/>
        <v>104</v>
      </c>
      <c r="BD36" s="280">
        <f ca="1">Ruimtestaat!D36*$BC36</f>
        <v>0</v>
      </c>
      <c r="BE36" s="281">
        <f ca="1">Ruimtestaat!E36*$BC36</f>
        <v>0</v>
      </c>
      <c r="BF36" s="281">
        <f ca="1">Ruimtestaat!F36*$BC36</f>
        <v>0</v>
      </c>
      <c r="BG36" s="281">
        <f ca="1">Ruimtestaat!G36*$BC36</f>
        <v>0</v>
      </c>
      <c r="BH36" s="281">
        <f ca="1">Ruimtestaat!H36*$BC36</f>
        <v>0</v>
      </c>
      <c r="BI36" s="282">
        <f ca="1">Ruimtestaat!I36*$BC36</f>
        <v>0</v>
      </c>
      <c r="BJ36" s="283">
        <f ca="1">Ruimtestaat!J36*$BC36</f>
        <v>0</v>
      </c>
      <c r="BK36" s="553"/>
      <c r="BR36" s="278" t="str">
        <f>IF(Ruimtestaat!BC36="","",Ruimtestaat!BC36)</f>
        <v>ALK-OLW</v>
      </c>
      <c r="BS36" s="313">
        <f t="shared" si="1"/>
        <v>104</v>
      </c>
      <c r="BT36" s="280" t="str">
        <f ca="1">IF(BD36&gt;0,IF(ISNUMBER(Schoonmaaknormen!D36),Schoonmaaknormen!BD36/Schoonmaaknormen!D36,0),"")</f>
        <v/>
      </c>
      <c r="BU36" s="314" t="str">
        <f ca="1">IF(BE36&gt;0,IF(ISNUMBER(Schoonmaaknormen!E36),Schoonmaaknormen!BE36/Schoonmaaknormen!E36,0),"")</f>
        <v/>
      </c>
      <c r="BV36" s="314" t="str">
        <f ca="1">IF(BF36&gt;0,IF(ISNUMBER(Schoonmaaknormen!F36),Schoonmaaknormen!BF36/Schoonmaaknormen!F36,0),"")</f>
        <v/>
      </c>
      <c r="BW36" s="314" t="str">
        <f ca="1">IF(BG36&gt;0,IF(ISNUMBER(Schoonmaaknormen!G36),Schoonmaaknormen!BG36/Schoonmaaknormen!G36,0),"")</f>
        <v/>
      </c>
      <c r="BX36" s="314" t="str">
        <f ca="1">IF(BH36&gt;0,IF(ISNUMBER(Schoonmaaknormen!H36),Schoonmaaknormen!BH36/Schoonmaaknormen!H36,0),"")</f>
        <v/>
      </c>
      <c r="BY36" s="314" t="str">
        <f ca="1">IF(BI36&gt;0,IF(ISNUMBER(Schoonmaaknormen!I36),Schoonmaaknormen!BI36/Schoonmaaknormen!I36,0),"")</f>
        <v/>
      </c>
      <c r="BZ36" s="314" t="str">
        <f ca="1">IF(BJ36&gt;0,IF(ISNUMBER(Schoonmaaknormen!J36),Schoonmaaknormen!BJ36/Schoonmaaknormen!J36,0),"")</f>
        <v/>
      </c>
      <c r="CA36" s="549"/>
      <c r="CB36" s="553"/>
    </row>
    <row r="37" spans="1:80" ht="0.2" customHeight="1" x14ac:dyDescent="0.2">
      <c r="A37" s="172">
        <f ca="1">Ruimtestaat!A37</f>
        <v>0</v>
      </c>
      <c r="B37" s="557"/>
      <c r="C37" s="11">
        <v>52</v>
      </c>
      <c r="D37" s="309"/>
      <c r="E37" s="310"/>
      <c r="F37" s="310"/>
      <c r="G37" s="310"/>
      <c r="H37" s="310"/>
      <c r="I37" s="312"/>
      <c r="J37" s="312"/>
      <c r="K37" s="561"/>
      <c r="L37" s="553"/>
      <c r="M37" s="172" t="b">
        <f>IF(_xlfn.XLOOKUP(BB37,Tabel2[Locatiecode],Tabel2[Type locatie],"",0)="vaccin",TRUE,FALSE)</f>
        <v>1</v>
      </c>
      <c r="BB37" s="284" t="str">
        <f>IF(Ruimtestaat!BC37="","",Ruimtestaat!BC37)</f>
        <v>ALK-OLW</v>
      </c>
      <c r="BC37" s="285">
        <f t="shared" si="0"/>
        <v>52</v>
      </c>
      <c r="BD37" s="286">
        <f ca="1">Ruimtestaat!D37*$BC37</f>
        <v>0</v>
      </c>
      <c r="BE37" s="287">
        <f ca="1">Ruimtestaat!E37*$BC37</f>
        <v>0</v>
      </c>
      <c r="BF37" s="287">
        <f ca="1">Ruimtestaat!F37*$BC37</f>
        <v>0</v>
      </c>
      <c r="BG37" s="287">
        <f ca="1">Ruimtestaat!G37*$BC37</f>
        <v>0</v>
      </c>
      <c r="BH37" s="287">
        <f ca="1">Ruimtestaat!H37*$BC37</f>
        <v>0</v>
      </c>
      <c r="BI37" s="288">
        <f ca="1">Ruimtestaat!I37*$BC37</f>
        <v>0</v>
      </c>
      <c r="BJ37" s="289">
        <f ca="1">Ruimtestaat!J37*$BC37</f>
        <v>0</v>
      </c>
      <c r="BK37" s="553"/>
      <c r="BR37" s="284" t="str">
        <f>IF(Ruimtestaat!BC37="","",Ruimtestaat!BC37)</f>
        <v>ALK-OLW</v>
      </c>
      <c r="BS37" s="285">
        <f t="shared" si="1"/>
        <v>52</v>
      </c>
      <c r="BT37" s="286" t="str">
        <f ca="1">IF(BD37&gt;0,IF(ISNUMBER(Schoonmaaknormen!D37),Schoonmaaknormen!BD37/Schoonmaaknormen!D37,0),"")</f>
        <v/>
      </c>
      <c r="BU37" s="287" t="str">
        <f ca="1">IF(BE37&gt;0,IF(ISNUMBER(Schoonmaaknormen!E37),Schoonmaaknormen!BE37/Schoonmaaknormen!E37,0),"")</f>
        <v/>
      </c>
      <c r="BV37" s="287" t="str">
        <f ca="1">IF(BF37&gt;0,IF(ISNUMBER(Schoonmaaknormen!F37),Schoonmaaknormen!BF37/Schoonmaaknormen!F37,0),"")</f>
        <v/>
      </c>
      <c r="BW37" s="287" t="str">
        <f ca="1">IF(BG37&gt;0,IF(ISNUMBER(Schoonmaaknormen!G37),Schoonmaaknormen!BG37/Schoonmaaknormen!G37,0),"")</f>
        <v/>
      </c>
      <c r="BX37" s="287" t="str">
        <f ca="1">IF(BH37&gt;0,IF(ISNUMBER(Schoonmaaknormen!H37),Schoonmaaknormen!BH37/Schoonmaaknormen!H37,0),"")</f>
        <v/>
      </c>
      <c r="BY37" s="287" t="str">
        <f ca="1">IF(BI37&gt;0,IF(ISNUMBER(Schoonmaaknormen!I37),Schoonmaaknormen!BI37/Schoonmaaknormen!I37,0),"")</f>
        <v/>
      </c>
      <c r="BZ37" s="287" t="str">
        <f ca="1">IF(BJ37&gt;0,IF(ISNUMBER(Schoonmaaknormen!J37),Schoonmaaknormen!BJ37/Schoonmaaknormen!J37,0),"")</f>
        <v/>
      </c>
      <c r="CA37" s="549"/>
      <c r="CB37" s="553"/>
    </row>
    <row r="38" spans="1:80" ht="0.2" customHeight="1" x14ac:dyDescent="0.2">
      <c r="A38" s="172">
        <f ca="1">Ruimtestaat!A38</f>
        <v>2</v>
      </c>
      <c r="B38" s="558"/>
      <c r="C38" s="290">
        <v>4</v>
      </c>
      <c r="D38" s="186"/>
      <c r="E38" s="187"/>
      <c r="F38" s="187"/>
      <c r="G38" s="187"/>
      <c r="H38" s="187"/>
      <c r="I38" s="189"/>
      <c r="J38" s="189"/>
      <c r="K38" s="562"/>
      <c r="L38" s="554"/>
      <c r="M38" s="172" t="b">
        <f>IF(_xlfn.XLOOKUP(BB38,Tabel2[Locatiecode],Tabel2[Type locatie],"",0)="vaccin",TRUE,FALSE)</f>
        <v>1</v>
      </c>
      <c r="BB38" s="291" t="str">
        <f>IF(Ruimtestaat!BC38="","",Ruimtestaat!BC38)</f>
        <v>ALK-OLW</v>
      </c>
      <c r="BC38" s="292">
        <f t="shared" si="0"/>
        <v>4</v>
      </c>
      <c r="BD38" s="293">
        <f ca="1">Ruimtestaat!D38*$BC38</f>
        <v>0</v>
      </c>
      <c r="BE38" s="294">
        <f ca="1">Ruimtestaat!E38*$BC38</f>
        <v>0</v>
      </c>
      <c r="BF38" s="294">
        <f ca="1">Ruimtestaat!F38*$BC38</f>
        <v>0</v>
      </c>
      <c r="BG38" s="294">
        <f ca="1">Ruimtestaat!G38*$BC38</f>
        <v>0</v>
      </c>
      <c r="BH38" s="294">
        <f ca="1">Ruimtestaat!H38*$BC38</f>
        <v>0</v>
      </c>
      <c r="BI38" s="295">
        <f ca="1">Ruimtestaat!I38*$BC38</f>
        <v>0</v>
      </c>
      <c r="BJ38" s="296">
        <f ca="1">Ruimtestaat!J38*$BC38</f>
        <v>0</v>
      </c>
      <c r="BK38" s="554"/>
      <c r="BR38" s="291" t="str">
        <f>IF(Ruimtestaat!BC38="","",Ruimtestaat!BC38)</f>
        <v>ALK-OLW</v>
      </c>
      <c r="BS38" s="292">
        <f t="shared" si="1"/>
        <v>4</v>
      </c>
      <c r="BT38" s="293" t="str">
        <f ca="1">IF(BD38&gt;0,IF(ISNUMBER(Schoonmaaknormen!D38),Schoonmaaknormen!BD38/Schoonmaaknormen!D38,0),"")</f>
        <v/>
      </c>
      <c r="BU38" s="294" t="str">
        <f ca="1">IF(BE38&gt;0,IF(ISNUMBER(Schoonmaaknormen!E38),Schoonmaaknormen!BE38/Schoonmaaknormen!E38,0),"")</f>
        <v/>
      </c>
      <c r="BV38" s="294" t="str">
        <f ca="1">IF(BF38&gt;0,IF(ISNUMBER(Schoonmaaknormen!F38),Schoonmaaknormen!BF38/Schoonmaaknormen!F38,0),"")</f>
        <v/>
      </c>
      <c r="BW38" s="294" t="str">
        <f ca="1">IF(BG38&gt;0,IF(ISNUMBER(Schoonmaaknormen!G38),Schoonmaaknormen!BG38/Schoonmaaknormen!G38,0),"")</f>
        <v/>
      </c>
      <c r="BX38" s="294" t="str">
        <f ca="1">IF(BH38&gt;0,IF(ISNUMBER(Schoonmaaknormen!H38),Schoonmaaknormen!BH38/Schoonmaaknormen!H38,0),"")</f>
        <v/>
      </c>
      <c r="BY38" s="294" t="str">
        <f ca="1">IF(BI38&gt;0,IF(ISNUMBER(Schoonmaaknormen!I38),Schoonmaaknormen!BI38/Schoonmaaknormen!I38,0),"")</f>
        <v/>
      </c>
      <c r="BZ38" s="294" t="str">
        <f ca="1">IF(BJ38&gt;0,IF(ISNUMBER(Schoonmaaknormen!J38),Schoonmaaknormen!BJ38/Schoonmaaknormen!J38,0),"")</f>
        <v/>
      </c>
      <c r="CA38" s="555"/>
      <c r="CB38" s="554"/>
    </row>
    <row r="39" spans="1:80" ht="15" customHeight="1" x14ac:dyDescent="0.2">
      <c r="A39" s="172">
        <f ca="1">Ruimtestaat!A39</f>
        <v>1</v>
      </c>
      <c r="B39" s="556" t="str">
        <f>BB39</f>
        <v>ALK-VAS</v>
      </c>
      <c r="C39" s="298">
        <v>255</v>
      </c>
      <c r="D39" s="299"/>
      <c r="E39" s="300"/>
      <c r="F39" s="300"/>
      <c r="G39" s="300"/>
      <c r="H39" s="300"/>
      <c r="I39" s="302"/>
      <c r="J39" s="302"/>
      <c r="K39" s="559"/>
      <c r="L39" s="551" t="str" cm="1">
        <f t="array" aca="1" ref="L39" ca="1">_xlfn.IFS(A39=2,"",COUNTBLANK(D39:J44)=COUNTIF(Ruimtestaat!D39:J44,"&lt;=0"),BK39/CB39,TRUE,"")</f>
        <v/>
      </c>
      <c r="M39" s="172" t="b">
        <f>IF(_xlfn.XLOOKUP(BB39,Tabel2[Locatiecode],Tabel2[Type locatie],"",0)="vaccin",TRUE,FALSE)</f>
        <v>0</v>
      </c>
      <c r="BB39" s="303" t="str">
        <f>IF(Ruimtestaat!BC39="","",Ruimtestaat!BC39)</f>
        <v>ALK-VAS</v>
      </c>
      <c r="BC39" s="304">
        <f t="shared" si="0"/>
        <v>255</v>
      </c>
      <c r="BD39" s="305">
        <f ca="1">Ruimtestaat!D39*$BC39</f>
        <v>0</v>
      </c>
      <c r="BE39" s="306">
        <f ca="1">Ruimtestaat!E39*$BC39</f>
        <v>8440.5</v>
      </c>
      <c r="BF39" s="306">
        <f ca="1">Ruimtestaat!F39*$BC39</f>
        <v>21547.5</v>
      </c>
      <c r="BG39" s="306">
        <f ca="1">Ruimtestaat!G39*$BC39</f>
        <v>0</v>
      </c>
      <c r="BH39" s="306">
        <f ca="1">Ruimtestaat!H39*$BC39</f>
        <v>1326</v>
      </c>
      <c r="BI39" s="307">
        <f ca="1">Ruimtestaat!I39*$BC39</f>
        <v>10506</v>
      </c>
      <c r="BJ39" s="308">
        <f ca="1">Ruimtestaat!J39*$BC39</f>
        <v>0</v>
      </c>
      <c r="BK39" s="552">
        <f ca="1">SUM(BD39:BJ44)</f>
        <v>41820</v>
      </c>
      <c r="BR39" s="303" t="str">
        <f>IF(Ruimtestaat!BC39="","",Ruimtestaat!BC39)</f>
        <v>ALK-VAS</v>
      </c>
      <c r="BS39" s="304">
        <f t="shared" si="1"/>
        <v>255</v>
      </c>
      <c r="BT39" s="305" t="str">
        <f ca="1">IF(BD39&gt;0,IF(ISNUMBER(Schoonmaaknormen!D39),Schoonmaaknormen!BD39/Schoonmaaknormen!D39,0),"")</f>
        <v/>
      </c>
      <c r="BU39" s="306">
        <f ca="1">IF(BE39&gt;0,IF(ISNUMBER(Schoonmaaknormen!E39),Schoonmaaknormen!BE39/Schoonmaaknormen!E39,0),"")</f>
        <v>0</v>
      </c>
      <c r="BV39" s="306">
        <f ca="1">IF(BF39&gt;0,IF(ISNUMBER(Schoonmaaknormen!F39),Schoonmaaknormen!BF39/Schoonmaaknormen!F39,0),"")</f>
        <v>0</v>
      </c>
      <c r="BW39" s="306" t="str">
        <f ca="1">IF(BG39&gt;0,IF(ISNUMBER(Schoonmaaknormen!G39),Schoonmaaknormen!BG39/Schoonmaaknormen!G39,0),"")</f>
        <v/>
      </c>
      <c r="BX39" s="306">
        <f ca="1">IF(BH39&gt;0,IF(ISNUMBER(Schoonmaaknormen!H39),Schoonmaaknormen!BH39/Schoonmaaknormen!H39,0),"")</f>
        <v>0</v>
      </c>
      <c r="BY39" s="306">
        <f ca="1">IF(BI39&gt;0,IF(ISNUMBER(Schoonmaaknormen!I39),Schoonmaaknormen!BI39/Schoonmaaknormen!I39,0),"")</f>
        <v>0</v>
      </c>
      <c r="BZ39" s="306" t="str">
        <f ca="1">IF(BJ39&gt;0,IF(ISNUMBER(Schoonmaaknormen!J39),Schoonmaaknormen!BJ39/Schoonmaaknormen!J39,0),"")</f>
        <v/>
      </c>
      <c r="CA39" s="547" t="str" cm="1">
        <f t="array" ref="CA39">IF(ISNUMBER(K39),IF(SUM(BT39:BZ44)/LARGE(_xlfn._xlws.FILTER(Ruimtestaat!BD:BD,Ruimtestaat!BC:BC=BR39),1)&lt;K39,K39*LARGE(_xlfn._xlws.FILTER(Ruimtestaat!BD:BD,Ruimtestaat!BC:BC=BR39),1)-SUM(BT39:BZ44),0),"")</f>
        <v/>
      </c>
      <c r="CB39" s="551">
        <f ca="1">SUM(BT39:CA44)</f>
        <v>0</v>
      </c>
    </row>
    <row r="40" spans="1:80" ht="0.2" customHeight="1" x14ac:dyDescent="0.2">
      <c r="A40" s="172">
        <f ca="1">Ruimtestaat!A40</f>
        <v>2</v>
      </c>
      <c r="B40" s="557"/>
      <c r="C40" s="11">
        <v>204</v>
      </c>
      <c r="D40" s="309"/>
      <c r="E40" s="310"/>
      <c r="F40" s="310"/>
      <c r="G40" s="310"/>
      <c r="H40" s="310"/>
      <c r="I40" s="312"/>
      <c r="J40" s="312"/>
      <c r="K40" s="560"/>
      <c r="L40" s="552"/>
      <c r="M40" s="172" t="b">
        <f>IF(_xlfn.XLOOKUP(BB40,Tabel2[Locatiecode],Tabel2[Type locatie],"",0)="vaccin",TRUE,FALSE)</f>
        <v>0</v>
      </c>
      <c r="BB40" s="272" t="str">
        <f>IF(Ruimtestaat!BC40="","",Ruimtestaat!BC40)</f>
        <v>ALK-VAS</v>
      </c>
      <c r="BC40" s="273">
        <f t="shared" si="0"/>
        <v>204</v>
      </c>
      <c r="BD40" s="274">
        <f ca="1">Ruimtestaat!D40*$BC40</f>
        <v>0</v>
      </c>
      <c r="BE40" s="275">
        <f ca="1">Ruimtestaat!E40*$BC40</f>
        <v>0</v>
      </c>
      <c r="BF40" s="275">
        <f ca="1">Ruimtestaat!F40*$BC40</f>
        <v>0</v>
      </c>
      <c r="BG40" s="275">
        <f ca="1">Ruimtestaat!G40*$BC40</f>
        <v>0</v>
      </c>
      <c r="BH40" s="275">
        <f ca="1">Ruimtestaat!H40*$BC40</f>
        <v>0</v>
      </c>
      <c r="BI40" s="276">
        <f ca="1">Ruimtestaat!I40*$BC40</f>
        <v>0</v>
      </c>
      <c r="BJ40" s="277">
        <f ca="1">Ruimtestaat!J40*$BC40</f>
        <v>0</v>
      </c>
      <c r="BK40" s="552"/>
      <c r="BR40" s="272" t="str">
        <f>IF(Ruimtestaat!BC40="","",Ruimtestaat!BC40)</f>
        <v>ALK-VAS</v>
      </c>
      <c r="BS40" s="273">
        <f t="shared" si="1"/>
        <v>204</v>
      </c>
      <c r="BT40" s="274" t="str">
        <f ca="1">IF(BD40&gt;0,IF(ISNUMBER(Schoonmaaknormen!D40),Schoonmaaknormen!BD40/Schoonmaaknormen!D40,0),"")</f>
        <v/>
      </c>
      <c r="BU40" s="275" t="str">
        <f ca="1">IF(BE40&gt;0,IF(ISNUMBER(Schoonmaaknormen!E40),Schoonmaaknormen!BE40/Schoonmaaknormen!E40,0),"")</f>
        <v/>
      </c>
      <c r="BV40" s="275" t="str">
        <f ca="1">IF(BF40&gt;0,IF(ISNUMBER(Schoonmaaknormen!F40),Schoonmaaknormen!BF40/Schoonmaaknormen!F40,0),"")</f>
        <v/>
      </c>
      <c r="BW40" s="275" t="str">
        <f ca="1">IF(BG40&gt;0,IF(ISNUMBER(Schoonmaaknormen!G40),Schoonmaaknormen!BG40/Schoonmaaknormen!G40,0),"")</f>
        <v/>
      </c>
      <c r="BX40" s="275" t="str">
        <f ca="1">IF(BH40&gt;0,IF(ISNUMBER(Schoonmaaknormen!H40),Schoonmaaknormen!BH40/Schoonmaaknormen!H40,0),"")</f>
        <v/>
      </c>
      <c r="BY40" s="275" t="str">
        <f ca="1">IF(BI40&gt;0,IF(ISNUMBER(Schoonmaaknormen!I40),Schoonmaaknormen!BI40/Schoonmaaknormen!I40,0),"")</f>
        <v/>
      </c>
      <c r="BZ40" s="275" t="str">
        <f ca="1">IF(BJ40&gt;0,IF(ISNUMBER(Schoonmaaknormen!J40),Schoonmaaknormen!BJ40/Schoonmaaknormen!J40,0),"")</f>
        <v/>
      </c>
      <c r="CA40" s="548"/>
      <c r="CB40" s="552"/>
    </row>
    <row r="41" spans="1:80" ht="0.2" customHeight="1" x14ac:dyDescent="0.2">
      <c r="A41" s="172">
        <f ca="1">Ruimtestaat!A41</f>
        <v>2</v>
      </c>
      <c r="B41" s="557"/>
      <c r="C41" s="11">
        <v>156</v>
      </c>
      <c r="D41" s="309"/>
      <c r="E41" s="310"/>
      <c r="F41" s="310"/>
      <c r="G41" s="310"/>
      <c r="H41" s="310"/>
      <c r="I41" s="312"/>
      <c r="J41" s="312"/>
      <c r="K41" s="560"/>
      <c r="L41" s="552"/>
      <c r="M41" s="172" t="b">
        <f>IF(_xlfn.XLOOKUP(BB41,Tabel2[Locatiecode],Tabel2[Type locatie],"",0)="vaccin",TRUE,FALSE)</f>
        <v>0</v>
      </c>
      <c r="BB41" s="272" t="str">
        <f>IF(Ruimtestaat!BC41="","",Ruimtestaat!BC41)</f>
        <v>ALK-VAS</v>
      </c>
      <c r="BC41" s="273">
        <f t="shared" si="0"/>
        <v>156</v>
      </c>
      <c r="BD41" s="274">
        <f ca="1">Ruimtestaat!D41*$BC41</f>
        <v>0</v>
      </c>
      <c r="BE41" s="275">
        <f ca="1">Ruimtestaat!E41*$BC41</f>
        <v>0</v>
      </c>
      <c r="BF41" s="275">
        <f ca="1">Ruimtestaat!F41*$BC41</f>
        <v>0</v>
      </c>
      <c r="BG41" s="275">
        <f ca="1">Ruimtestaat!G41*$BC41</f>
        <v>0</v>
      </c>
      <c r="BH41" s="275">
        <f ca="1">Ruimtestaat!H41*$BC41</f>
        <v>0</v>
      </c>
      <c r="BI41" s="276">
        <f ca="1">Ruimtestaat!I41*$BC41</f>
        <v>0</v>
      </c>
      <c r="BJ41" s="277">
        <f ca="1">Ruimtestaat!J41*$BC41</f>
        <v>0</v>
      </c>
      <c r="BK41" s="552"/>
      <c r="BR41" s="272" t="str">
        <f>IF(Ruimtestaat!BC41="","",Ruimtestaat!BC41)</f>
        <v>ALK-VAS</v>
      </c>
      <c r="BS41" s="273">
        <f t="shared" si="1"/>
        <v>156</v>
      </c>
      <c r="BT41" s="274" t="str">
        <f ca="1">IF(BD41&gt;0,IF(ISNUMBER(Schoonmaaknormen!D41),Schoonmaaknormen!BD41/Schoonmaaknormen!D41,0),"")</f>
        <v/>
      </c>
      <c r="BU41" s="275" t="str">
        <f ca="1">IF(BE41&gt;0,IF(ISNUMBER(Schoonmaaknormen!E41),Schoonmaaknormen!BE41/Schoonmaaknormen!E41,0),"")</f>
        <v/>
      </c>
      <c r="BV41" s="275" t="str">
        <f ca="1">IF(BF41&gt;0,IF(ISNUMBER(Schoonmaaknormen!F41),Schoonmaaknormen!BF41/Schoonmaaknormen!F41,0),"")</f>
        <v/>
      </c>
      <c r="BW41" s="275" t="str">
        <f ca="1">IF(BG41&gt;0,IF(ISNUMBER(Schoonmaaknormen!G41),Schoonmaaknormen!BG41/Schoonmaaknormen!G41,0),"")</f>
        <v/>
      </c>
      <c r="BX41" s="275" t="str">
        <f ca="1">IF(BH41&gt;0,IF(ISNUMBER(Schoonmaaknormen!H41),Schoonmaaknormen!BH41/Schoonmaaknormen!H41,0),"")</f>
        <v/>
      </c>
      <c r="BY41" s="275" t="str">
        <f ca="1">IF(BI41&gt;0,IF(ISNUMBER(Schoonmaaknormen!I41),Schoonmaaknormen!BI41/Schoonmaaknormen!I41,0),"")</f>
        <v/>
      </c>
      <c r="BZ41" s="275" t="str">
        <f ca="1">IF(BJ41&gt;0,IF(ISNUMBER(Schoonmaaknormen!J41),Schoonmaaknormen!BJ41/Schoonmaaknormen!J41,0),"")</f>
        <v/>
      </c>
      <c r="CA41" s="548"/>
      <c r="CB41" s="552"/>
    </row>
    <row r="42" spans="1:80" ht="0.2" customHeight="1" x14ac:dyDescent="0.2">
      <c r="A42" s="172">
        <f ca="1">Ruimtestaat!A42</f>
        <v>2</v>
      </c>
      <c r="B42" s="557"/>
      <c r="C42" s="11">
        <v>104</v>
      </c>
      <c r="D42" s="309"/>
      <c r="E42" s="310"/>
      <c r="F42" s="310"/>
      <c r="G42" s="310"/>
      <c r="H42" s="310"/>
      <c r="I42" s="312"/>
      <c r="J42" s="312"/>
      <c r="K42" s="561"/>
      <c r="L42" s="553"/>
      <c r="M42" s="172" t="b">
        <f>IF(_xlfn.XLOOKUP(BB42,Tabel2[Locatiecode],Tabel2[Type locatie],"",0)="vaccin",TRUE,FALSE)</f>
        <v>0</v>
      </c>
      <c r="BB42" s="278" t="str">
        <f>IF(Ruimtestaat!BC42="","",Ruimtestaat!BC42)</f>
        <v>ALK-VAS</v>
      </c>
      <c r="BC42" s="279">
        <f t="shared" si="0"/>
        <v>104</v>
      </c>
      <c r="BD42" s="280">
        <f ca="1">Ruimtestaat!D42*$BC42</f>
        <v>0</v>
      </c>
      <c r="BE42" s="281">
        <f ca="1">Ruimtestaat!E42*$BC42</f>
        <v>0</v>
      </c>
      <c r="BF42" s="281">
        <f ca="1">Ruimtestaat!F42*$BC42</f>
        <v>0</v>
      </c>
      <c r="BG42" s="281">
        <f ca="1">Ruimtestaat!G42*$BC42</f>
        <v>0</v>
      </c>
      <c r="BH42" s="281">
        <f ca="1">Ruimtestaat!H42*$BC42</f>
        <v>0</v>
      </c>
      <c r="BI42" s="282">
        <f ca="1">Ruimtestaat!I42*$BC42</f>
        <v>0</v>
      </c>
      <c r="BJ42" s="283">
        <f ca="1">Ruimtestaat!J42*$BC42</f>
        <v>0</v>
      </c>
      <c r="BK42" s="553"/>
      <c r="BR42" s="278" t="str">
        <f>IF(Ruimtestaat!BC42="","",Ruimtestaat!BC42)</f>
        <v>ALK-VAS</v>
      </c>
      <c r="BS42" s="313">
        <f t="shared" si="1"/>
        <v>104</v>
      </c>
      <c r="BT42" s="280" t="str">
        <f ca="1">IF(BD42&gt;0,IF(ISNUMBER(Schoonmaaknormen!D42),Schoonmaaknormen!BD42/Schoonmaaknormen!D42,0),"")</f>
        <v/>
      </c>
      <c r="BU42" s="314" t="str">
        <f ca="1">IF(BE42&gt;0,IF(ISNUMBER(Schoonmaaknormen!E42),Schoonmaaknormen!BE42/Schoonmaaknormen!E42,0),"")</f>
        <v/>
      </c>
      <c r="BV42" s="314" t="str">
        <f ca="1">IF(BF42&gt;0,IF(ISNUMBER(Schoonmaaknormen!F42),Schoonmaaknormen!BF42/Schoonmaaknormen!F42,0),"")</f>
        <v/>
      </c>
      <c r="BW42" s="314" t="str">
        <f ca="1">IF(BG42&gt;0,IF(ISNUMBER(Schoonmaaknormen!G42),Schoonmaaknormen!BG42/Schoonmaaknormen!G42,0),"")</f>
        <v/>
      </c>
      <c r="BX42" s="314" t="str">
        <f ca="1">IF(BH42&gt;0,IF(ISNUMBER(Schoonmaaknormen!H42),Schoonmaaknormen!BH42/Schoonmaaknormen!H42,0),"")</f>
        <v/>
      </c>
      <c r="BY42" s="314" t="str">
        <f ca="1">IF(BI42&gt;0,IF(ISNUMBER(Schoonmaaknormen!I42),Schoonmaaknormen!BI42/Schoonmaaknormen!I42,0),"")</f>
        <v/>
      </c>
      <c r="BZ42" s="314" t="str">
        <f ca="1">IF(BJ42&gt;0,IF(ISNUMBER(Schoonmaaknormen!J42),Schoonmaaknormen!BJ42/Schoonmaaknormen!J42,0),"")</f>
        <v/>
      </c>
      <c r="CA42" s="549"/>
      <c r="CB42" s="553"/>
    </row>
    <row r="43" spans="1:80" ht="0.2" customHeight="1" x14ac:dyDescent="0.2">
      <c r="A43" s="172">
        <f ca="1">Ruimtestaat!A43</f>
        <v>2</v>
      </c>
      <c r="B43" s="557"/>
      <c r="C43" s="11">
        <v>52</v>
      </c>
      <c r="D43" s="309"/>
      <c r="E43" s="310"/>
      <c r="F43" s="310"/>
      <c r="G43" s="310"/>
      <c r="H43" s="310"/>
      <c r="I43" s="312"/>
      <c r="J43" s="312"/>
      <c r="K43" s="561"/>
      <c r="L43" s="553"/>
      <c r="M43" s="172" t="b">
        <f>IF(_xlfn.XLOOKUP(BB43,Tabel2[Locatiecode],Tabel2[Type locatie],"",0)="vaccin",TRUE,FALSE)</f>
        <v>0</v>
      </c>
      <c r="BB43" s="284" t="str">
        <f>IF(Ruimtestaat!BC43="","",Ruimtestaat!BC43)</f>
        <v>ALK-VAS</v>
      </c>
      <c r="BC43" s="285">
        <f t="shared" si="0"/>
        <v>52</v>
      </c>
      <c r="BD43" s="286">
        <f ca="1">Ruimtestaat!D43*$BC43</f>
        <v>0</v>
      </c>
      <c r="BE43" s="287">
        <f ca="1">Ruimtestaat!E43*$BC43</f>
        <v>0</v>
      </c>
      <c r="BF43" s="287">
        <f ca="1">Ruimtestaat!F43*$BC43</f>
        <v>0</v>
      </c>
      <c r="BG43" s="287">
        <f ca="1">Ruimtestaat!G43*$BC43</f>
        <v>0</v>
      </c>
      <c r="BH43" s="287">
        <f ca="1">Ruimtestaat!H43*$BC43</f>
        <v>0</v>
      </c>
      <c r="BI43" s="288">
        <f ca="1">Ruimtestaat!I43*$BC43</f>
        <v>0</v>
      </c>
      <c r="BJ43" s="289">
        <f ca="1">Ruimtestaat!J43*$BC43</f>
        <v>0</v>
      </c>
      <c r="BK43" s="553"/>
      <c r="BR43" s="284" t="str">
        <f>IF(Ruimtestaat!BC43="","",Ruimtestaat!BC43)</f>
        <v>ALK-VAS</v>
      </c>
      <c r="BS43" s="285">
        <f t="shared" si="1"/>
        <v>52</v>
      </c>
      <c r="BT43" s="286" t="str">
        <f ca="1">IF(BD43&gt;0,IF(ISNUMBER(Schoonmaaknormen!D43),Schoonmaaknormen!BD43/Schoonmaaknormen!D43,0),"")</f>
        <v/>
      </c>
      <c r="BU43" s="287" t="str">
        <f ca="1">IF(BE43&gt;0,IF(ISNUMBER(Schoonmaaknormen!E43),Schoonmaaknormen!BE43/Schoonmaaknormen!E43,0),"")</f>
        <v/>
      </c>
      <c r="BV43" s="287" t="str">
        <f ca="1">IF(BF43&gt;0,IF(ISNUMBER(Schoonmaaknormen!F43),Schoonmaaknormen!BF43/Schoonmaaknormen!F43,0),"")</f>
        <v/>
      </c>
      <c r="BW43" s="287" t="str">
        <f ca="1">IF(BG43&gt;0,IF(ISNUMBER(Schoonmaaknormen!G43),Schoonmaaknormen!BG43/Schoonmaaknormen!G43,0),"")</f>
        <v/>
      </c>
      <c r="BX43" s="287" t="str">
        <f ca="1">IF(BH43&gt;0,IF(ISNUMBER(Schoonmaaknormen!H43),Schoonmaaknormen!BH43/Schoonmaaknormen!H43,0),"")</f>
        <v/>
      </c>
      <c r="BY43" s="287" t="str">
        <f ca="1">IF(BI43&gt;0,IF(ISNUMBER(Schoonmaaknormen!I43),Schoonmaaknormen!BI43/Schoonmaaknormen!I43,0),"")</f>
        <v/>
      </c>
      <c r="BZ43" s="287" t="str">
        <f ca="1">IF(BJ43&gt;0,IF(ISNUMBER(Schoonmaaknormen!J43),Schoonmaaknormen!BJ43/Schoonmaaknormen!J43,0),"")</f>
        <v/>
      </c>
      <c r="CA43" s="549"/>
      <c r="CB43" s="553"/>
    </row>
    <row r="44" spans="1:80" ht="0.2" customHeight="1" x14ac:dyDescent="0.2">
      <c r="A44" s="172">
        <f ca="1">Ruimtestaat!A44</f>
        <v>2</v>
      </c>
      <c r="B44" s="558"/>
      <c r="C44" s="290">
        <v>4</v>
      </c>
      <c r="D44" s="186"/>
      <c r="E44" s="187"/>
      <c r="F44" s="187"/>
      <c r="G44" s="187"/>
      <c r="H44" s="187"/>
      <c r="I44" s="189"/>
      <c r="J44" s="189"/>
      <c r="K44" s="562"/>
      <c r="L44" s="554"/>
      <c r="M44" s="172" t="b">
        <f>IF(_xlfn.XLOOKUP(BB44,Tabel2[Locatiecode],Tabel2[Type locatie],"",0)="vaccin",TRUE,FALSE)</f>
        <v>0</v>
      </c>
      <c r="BB44" s="291" t="str">
        <f>IF(Ruimtestaat!BC44="","",Ruimtestaat!BC44)</f>
        <v>ALK-VAS</v>
      </c>
      <c r="BC44" s="292">
        <f t="shared" si="0"/>
        <v>4</v>
      </c>
      <c r="BD44" s="293">
        <f ca="1">Ruimtestaat!D44*$BC44</f>
        <v>0</v>
      </c>
      <c r="BE44" s="294">
        <f ca="1">Ruimtestaat!E44*$BC44</f>
        <v>0</v>
      </c>
      <c r="BF44" s="294">
        <f ca="1">Ruimtestaat!F44*$BC44</f>
        <v>0</v>
      </c>
      <c r="BG44" s="294">
        <f ca="1">Ruimtestaat!G44*$BC44</f>
        <v>0</v>
      </c>
      <c r="BH44" s="294">
        <f ca="1">Ruimtestaat!H44*$BC44</f>
        <v>0</v>
      </c>
      <c r="BI44" s="295">
        <f ca="1">Ruimtestaat!I44*$BC44</f>
        <v>0</v>
      </c>
      <c r="BJ44" s="296">
        <f ca="1">Ruimtestaat!J44*$BC44</f>
        <v>0</v>
      </c>
      <c r="BK44" s="554"/>
      <c r="BR44" s="291" t="str">
        <f>IF(Ruimtestaat!BC44="","",Ruimtestaat!BC44)</f>
        <v>ALK-VAS</v>
      </c>
      <c r="BS44" s="292">
        <f t="shared" si="1"/>
        <v>4</v>
      </c>
      <c r="BT44" s="293" t="str">
        <f ca="1">IF(BD44&gt;0,IF(ISNUMBER(Schoonmaaknormen!D44),Schoonmaaknormen!BD44/Schoonmaaknormen!D44,0),"")</f>
        <v/>
      </c>
      <c r="BU44" s="294" t="str">
        <f ca="1">IF(BE44&gt;0,IF(ISNUMBER(Schoonmaaknormen!E44),Schoonmaaknormen!BE44/Schoonmaaknormen!E44,0),"")</f>
        <v/>
      </c>
      <c r="BV44" s="294" t="str">
        <f ca="1">IF(BF44&gt;0,IF(ISNUMBER(Schoonmaaknormen!F44),Schoonmaaknormen!BF44/Schoonmaaknormen!F44,0),"")</f>
        <v/>
      </c>
      <c r="BW44" s="294" t="str">
        <f ca="1">IF(BG44&gt;0,IF(ISNUMBER(Schoonmaaknormen!G44),Schoonmaaknormen!BG44/Schoonmaaknormen!G44,0),"")</f>
        <v/>
      </c>
      <c r="BX44" s="294" t="str">
        <f ca="1">IF(BH44&gt;0,IF(ISNUMBER(Schoonmaaknormen!H44),Schoonmaaknormen!BH44/Schoonmaaknormen!H44,0),"")</f>
        <v/>
      </c>
      <c r="BY44" s="294" t="str">
        <f ca="1">IF(BI44&gt;0,IF(ISNUMBER(Schoonmaaknormen!I44),Schoonmaaknormen!BI44/Schoonmaaknormen!I44,0),"")</f>
        <v/>
      </c>
      <c r="BZ44" s="294" t="str">
        <f ca="1">IF(BJ44&gt;0,IF(ISNUMBER(Schoonmaaknormen!J44),Schoonmaaknormen!BJ44/Schoonmaaknormen!J44,0),"")</f>
        <v/>
      </c>
      <c r="CA44" s="555"/>
      <c r="CB44" s="554"/>
    </row>
    <row r="45" spans="1:80" ht="15" customHeight="1" x14ac:dyDescent="0.2">
      <c r="A45" s="172">
        <f ca="1">Ruimtestaat!A45</f>
        <v>1</v>
      </c>
      <c r="B45" s="556" t="str">
        <f>BB45</f>
        <v>ALK-ZEV</v>
      </c>
      <c r="C45" s="298">
        <v>255</v>
      </c>
      <c r="D45" s="299"/>
      <c r="E45" s="300"/>
      <c r="F45" s="300"/>
      <c r="G45" s="300"/>
      <c r="H45" s="300"/>
      <c r="I45" s="302"/>
      <c r="J45" s="302"/>
      <c r="K45" s="559"/>
      <c r="L45" s="551" t="str" cm="1">
        <f t="array" aca="1" ref="L45" ca="1">_xlfn.IFS(A45=2,"",COUNTBLANK(D45:J50)=COUNTIF(Ruimtestaat!D45:J50,"&lt;=0"),BK45/CB45,TRUE,"")</f>
        <v/>
      </c>
      <c r="M45" s="172" t="b">
        <f>IF(_xlfn.XLOOKUP(BB45,Tabel2[Locatiecode],Tabel2[Type locatie],"",0)="vaccin",TRUE,FALSE)</f>
        <v>0</v>
      </c>
      <c r="BB45" s="303" t="str">
        <f>IF(Ruimtestaat!BC45="","",Ruimtestaat!BC45)</f>
        <v>ALK-ZEV</v>
      </c>
      <c r="BC45" s="304">
        <f t="shared" si="0"/>
        <v>255</v>
      </c>
      <c r="BD45" s="305">
        <f ca="1">Ruimtestaat!D45*$BC45</f>
        <v>0</v>
      </c>
      <c r="BE45" s="306">
        <f ca="1">Ruimtestaat!E45*$BC45</f>
        <v>0</v>
      </c>
      <c r="BF45" s="306">
        <f ca="1">Ruimtestaat!F45*$BC45</f>
        <v>17875.5</v>
      </c>
      <c r="BG45" s="306">
        <f ca="1">Ruimtestaat!G45*$BC45</f>
        <v>892.5</v>
      </c>
      <c r="BH45" s="306">
        <f ca="1">Ruimtestaat!H45*$BC45</f>
        <v>510</v>
      </c>
      <c r="BI45" s="307">
        <f ca="1">Ruimtestaat!I45*$BC45</f>
        <v>969.00000000000011</v>
      </c>
      <c r="BJ45" s="308">
        <f ca="1">Ruimtestaat!J45*$BC45</f>
        <v>0</v>
      </c>
      <c r="BK45" s="552">
        <f ca="1">SUM(BD45:BJ50)</f>
        <v>20247</v>
      </c>
      <c r="BR45" s="303" t="str">
        <f>IF(Ruimtestaat!BC45="","",Ruimtestaat!BC45)</f>
        <v>ALK-ZEV</v>
      </c>
      <c r="BS45" s="304">
        <f t="shared" si="1"/>
        <v>255</v>
      </c>
      <c r="BT45" s="305" t="str">
        <f ca="1">IF(BD45&gt;0,IF(ISNUMBER(Schoonmaaknormen!D45),Schoonmaaknormen!BD45/Schoonmaaknormen!D45,0),"")</f>
        <v/>
      </c>
      <c r="BU45" s="306" t="str">
        <f ca="1">IF(BE45&gt;0,IF(ISNUMBER(Schoonmaaknormen!E45),Schoonmaaknormen!BE45/Schoonmaaknormen!E45,0),"")</f>
        <v/>
      </c>
      <c r="BV45" s="306">
        <f ca="1">IF(BF45&gt;0,IF(ISNUMBER(Schoonmaaknormen!F45),Schoonmaaknormen!BF45/Schoonmaaknormen!F45,0),"")</f>
        <v>0</v>
      </c>
      <c r="BW45" s="306">
        <f ca="1">IF(BG45&gt;0,IF(ISNUMBER(Schoonmaaknormen!G45),Schoonmaaknormen!BG45/Schoonmaaknormen!G45,0),"")</f>
        <v>0</v>
      </c>
      <c r="BX45" s="306">
        <f ca="1">IF(BH45&gt;0,IF(ISNUMBER(Schoonmaaknormen!H45),Schoonmaaknormen!BH45/Schoonmaaknormen!H45,0),"")</f>
        <v>0</v>
      </c>
      <c r="BY45" s="306">
        <f ca="1">IF(BI45&gt;0,IF(ISNUMBER(Schoonmaaknormen!I45),Schoonmaaknormen!BI45/Schoonmaaknormen!I45,0),"")</f>
        <v>0</v>
      </c>
      <c r="BZ45" s="306" t="str">
        <f ca="1">IF(BJ45&gt;0,IF(ISNUMBER(Schoonmaaknormen!J45),Schoonmaaknormen!BJ45/Schoonmaaknormen!J45,0),"")</f>
        <v/>
      </c>
      <c r="CA45" s="547" t="str" cm="1">
        <f t="array" ref="CA45">IF(ISNUMBER(K45),IF(SUM(BT45:BZ50)/LARGE(_xlfn._xlws.FILTER(Ruimtestaat!BD:BD,Ruimtestaat!BC:BC=BR45),1)&lt;K45,K45*LARGE(_xlfn._xlws.FILTER(Ruimtestaat!BD:BD,Ruimtestaat!BC:BC=BR45),1)-SUM(BT45:BZ50),0),"")</f>
        <v/>
      </c>
      <c r="CB45" s="551">
        <f ca="1">SUM(BT45:CA50)</f>
        <v>0</v>
      </c>
    </row>
    <row r="46" spans="1:80" ht="0.2" customHeight="1" x14ac:dyDescent="0.2">
      <c r="A46" s="172">
        <f ca="1">Ruimtestaat!A46</f>
        <v>2</v>
      </c>
      <c r="B46" s="557"/>
      <c r="C46" s="11">
        <v>204</v>
      </c>
      <c r="D46" s="309"/>
      <c r="E46" s="310"/>
      <c r="F46" s="310"/>
      <c r="G46" s="310"/>
      <c r="H46" s="310"/>
      <c r="I46" s="312"/>
      <c r="J46" s="312"/>
      <c r="K46" s="560"/>
      <c r="L46" s="552"/>
      <c r="M46" s="172" t="b">
        <f>IF(_xlfn.XLOOKUP(BB46,Tabel2[Locatiecode],Tabel2[Type locatie],"",0)="vaccin",TRUE,FALSE)</f>
        <v>0</v>
      </c>
      <c r="BB46" s="272" t="str">
        <f>IF(Ruimtestaat!BC46="","",Ruimtestaat!BC46)</f>
        <v>ALK-ZEV</v>
      </c>
      <c r="BC46" s="273">
        <f t="shared" si="0"/>
        <v>204</v>
      </c>
      <c r="BD46" s="274">
        <f ca="1">Ruimtestaat!D46*$BC46</f>
        <v>0</v>
      </c>
      <c r="BE46" s="275">
        <f ca="1">Ruimtestaat!E46*$BC46</f>
        <v>0</v>
      </c>
      <c r="BF46" s="275">
        <f ca="1">Ruimtestaat!F46*$BC46</f>
        <v>0</v>
      </c>
      <c r="BG46" s="275">
        <f ca="1">Ruimtestaat!G46*$BC46</f>
        <v>0</v>
      </c>
      <c r="BH46" s="275">
        <f ca="1">Ruimtestaat!H46*$BC46</f>
        <v>0</v>
      </c>
      <c r="BI46" s="276">
        <f ca="1">Ruimtestaat!I46*$BC46</f>
        <v>0</v>
      </c>
      <c r="BJ46" s="277">
        <f ca="1">Ruimtestaat!J46*$BC46</f>
        <v>0</v>
      </c>
      <c r="BK46" s="552"/>
      <c r="BR46" s="272" t="str">
        <f>IF(Ruimtestaat!BC46="","",Ruimtestaat!BC46)</f>
        <v>ALK-ZEV</v>
      </c>
      <c r="BS46" s="273">
        <f t="shared" si="1"/>
        <v>204</v>
      </c>
      <c r="BT46" s="274" t="str">
        <f ca="1">IF(BD46&gt;0,IF(ISNUMBER(Schoonmaaknormen!D46),Schoonmaaknormen!BD46/Schoonmaaknormen!D46,0),"")</f>
        <v/>
      </c>
      <c r="BU46" s="275" t="str">
        <f ca="1">IF(BE46&gt;0,IF(ISNUMBER(Schoonmaaknormen!E46),Schoonmaaknormen!BE46/Schoonmaaknormen!E46,0),"")</f>
        <v/>
      </c>
      <c r="BV46" s="275" t="str">
        <f ca="1">IF(BF46&gt;0,IF(ISNUMBER(Schoonmaaknormen!F46),Schoonmaaknormen!BF46/Schoonmaaknormen!F46,0),"")</f>
        <v/>
      </c>
      <c r="BW46" s="275" t="str">
        <f ca="1">IF(BG46&gt;0,IF(ISNUMBER(Schoonmaaknormen!G46),Schoonmaaknormen!BG46/Schoonmaaknormen!G46,0),"")</f>
        <v/>
      </c>
      <c r="BX46" s="275" t="str">
        <f ca="1">IF(BH46&gt;0,IF(ISNUMBER(Schoonmaaknormen!H46),Schoonmaaknormen!BH46/Schoonmaaknormen!H46,0),"")</f>
        <v/>
      </c>
      <c r="BY46" s="275" t="str">
        <f ca="1">IF(BI46&gt;0,IF(ISNUMBER(Schoonmaaknormen!I46),Schoonmaaknormen!BI46/Schoonmaaknormen!I46,0),"")</f>
        <v/>
      </c>
      <c r="BZ46" s="275" t="str">
        <f ca="1">IF(BJ46&gt;0,IF(ISNUMBER(Schoonmaaknormen!J46),Schoonmaaknormen!BJ46/Schoonmaaknormen!J46,0),"")</f>
        <v/>
      </c>
      <c r="CA46" s="548"/>
      <c r="CB46" s="552"/>
    </row>
    <row r="47" spans="1:80" ht="0.2" customHeight="1" x14ac:dyDescent="0.2">
      <c r="A47" s="172">
        <f ca="1">Ruimtestaat!A47</f>
        <v>2</v>
      </c>
      <c r="B47" s="557"/>
      <c r="C47" s="11">
        <v>156</v>
      </c>
      <c r="D47" s="309"/>
      <c r="E47" s="310"/>
      <c r="F47" s="310"/>
      <c r="G47" s="310"/>
      <c r="H47" s="310"/>
      <c r="I47" s="312"/>
      <c r="J47" s="312"/>
      <c r="K47" s="560"/>
      <c r="L47" s="552"/>
      <c r="M47" s="172" t="b">
        <f>IF(_xlfn.XLOOKUP(BB47,Tabel2[Locatiecode],Tabel2[Type locatie],"",0)="vaccin",TRUE,FALSE)</f>
        <v>0</v>
      </c>
      <c r="BB47" s="272" t="str">
        <f>IF(Ruimtestaat!BC47="","",Ruimtestaat!BC47)</f>
        <v>ALK-ZEV</v>
      </c>
      <c r="BC47" s="273">
        <f t="shared" si="0"/>
        <v>156</v>
      </c>
      <c r="BD47" s="274">
        <f ca="1">Ruimtestaat!D47*$BC47</f>
        <v>0</v>
      </c>
      <c r="BE47" s="275">
        <f ca="1">Ruimtestaat!E47*$BC47</f>
        <v>0</v>
      </c>
      <c r="BF47" s="275">
        <f ca="1">Ruimtestaat!F47*$BC47</f>
        <v>0</v>
      </c>
      <c r="BG47" s="275">
        <f ca="1">Ruimtestaat!G47*$BC47</f>
        <v>0</v>
      </c>
      <c r="BH47" s="275">
        <f ca="1">Ruimtestaat!H47*$BC47</f>
        <v>0</v>
      </c>
      <c r="BI47" s="276">
        <f ca="1">Ruimtestaat!I47*$BC47</f>
        <v>0</v>
      </c>
      <c r="BJ47" s="277">
        <f ca="1">Ruimtestaat!J47*$BC47</f>
        <v>0</v>
      </c>
      <c r="BK47" s="552"/>
      <c r="BR47" s="272" t="str">
        <f>IF(Ruimtestaat!BC47="","",Ruimtestaat!BC47)</f>
        <v>ALK-ZEV</v>
      </c>
      <c r="BS47" s="273">
        <f t="shared" si="1"/>
        <v>156</v>
      </c>
      <c r="BT47" s="274" t="str">
        <f ca="1">IF(BD47&gt;0,IF(ISNUMBER(Schoonmaaknormen!D47),Schoonmaaknormen!BD47/Schoonmaaknormen!D47,0),"")</f>
        <v/>
      </c>
      <c r="BU47" s="275" t="str">
        <f ca="1">IF(BE47&gt;0,IF(ISNUMBER(Schoonmaaknormen!E47),Schoonmaaknormen!BE47/Schoonmaaknormen!E47,0),"")</f>
        <v/>
      </c>
      <c r="BV47" s="275" t="str">
        <f ca="1">IF(BF47&gt;0,IF(ISNUMBER(Schoonmaaknormen!F47),Schoonmaaknormen!BF47/Schoonmaaknormen!F47,0),"")</f>
        <v/>
      </c>
      <c r="BW47" s="275" t="str">
        <f ca="1">IF(BG47&gt;0,IF(ISNUMBER(Schoonmaaknormen!G47),Schoonmaaknormen!BG47/Schoonmaaknormen!G47,0),"")</f>
        <v/>
      </c>
      <c r="BX47" s="275" t="str">
        <f ca="1">IF(BH47&gt;0,IF(ISNUMBER(Schoonmaaknormen!H47),Schoonmaaknormen!BH47/Schoonmaaknormen!H47,0),"")</f>
        <v/>
      </c>
      <c r="BY47" s="275" t="str">
        <f ca="1">IF(BI47&gt;0,IF(ISNUMBER(Schoonmaaknormen!I47),Schoonmaaknormen!BI47/Schoonmaaknormen!I47,0),"")</f>
        <v/>
      </c>
      <c r="BZ47" s="275" t="str">
        <f ca="1">IF(BJ47&gt;0,IF(ISNUMBER(Schoonmaaknormen!J47),Schoonmaaknormen!BJ47/Schoonmaaknormen!J47,0),"")</f>
        <v/>
      </c>
      <c r="CA47" s="548"/>
      <c r="CB47" s="552"/>
    </row>
    <row r="48" spans="1:80" ht="0.2" customHeight="1" x14ac:dyDescent="0.2">
      <c r="A48" s="172">
        <f ca="1">Ruimtestaat!A48</f>
        <v>2</v>
      </c>
      <c r="B48" s="557"/>
      <c r="C48" s="11">
        <v>104</v>
      </c>
      <c r="D48" s="309"/>
      <c r="E48" s="310"/>
      <c r="F48" s="310"/>
      <c r="G48" s="310"/>
      <c r="H48" s="310"/>
      <c r="I48" s="312"/>
      <c r="J48" s="312"/>
      <c r="K48" s="561"/>
      <c r="L48" s="553"/>
      <c r="M48" s="172" t="b">
        <f>IF(_xlfn.XLOOKUP(BB48,Tabel2[Locatiecode],Tabel2[Type locatie],"",0)="vaccin",TRUE,FALSE)</f>
        <v>0</v>
      </c>
      <c r="BB48" s="278" t="str">
        <f>IF(Ruimtestaat!BC48="","",Ruimtestaat!BC48)</f>
        <v>ALK-ZEV</v>
      </c>
      <c r="BC48" s="279">
        <f t="shared" si="0"/>
        <v>104</v>
      </c>
      <c r="BD48" s="280">
        <f ca="1">Ruimtestaat!D48*$BC48</f>
        <v>0</v>
      </c>
      <c r="BE48" s="281">
        <f ca="1">Ruimtestaat!E48*$BC48</f>
        <v>0</v>
      </c>
      <c r="BF48" s="281">
        <f ca="1">Ruimtestaat!F48*$BC48</f>
        <v>0</v>
      </c>
      <c r="BG48" s="281">
        <f ca="1">Ruimtestaat!G48*$BC48</f>
        <v>0</v>
      </c>
      <c r="BH48" s="281">
        <f ca="1">Ruimtestaat!H48*$BC48</f>
        <v>0</v>
      </c>
      <c r="BI48" s="282">
        <f ca="1">Ruimtestaat!I48*$BC48</f>
        <v>0</v>
      </c>
      <c r="BJ48" s="283">
        <f ca="1">Ruimtestaat!J48*$BC48</f>
        <v>0</v>
      </c>
      <c r="BK48" s="553"/>
      <c r="BR48" s="278" t="str">
        <f>IF(Ruimtestaat!BC48="","",Ruimtestaat!BC48)</f>
        <v>ALK-ZEV</v>
      </c>
      <c r="BS48" s="313">
        <f t="shared" si="1"/>
        <v>104</v>
      </c>
      <c r="BT48" s="280" t="str">
        <f ca="1">IF(BD48&gt;0,IF(ISNUMBER(Schoonmaaknormen!D48),Schoonmaaknormen!BD48/Schoonmaaknormen!D48,0),"")</f>
        <v/>
      </c>
      <c r="BU48" s="314" t="str">
        <f ca="1">IF(BE48&gt;0,IF(ISNUMBER(Schoonmaaknormen!E48),Schoonmaaknormen!BE48/Schoonmaaknormen!E48,0),"")</f>
        <v/>
      </c>
      <c r="BV48" s="314" t="str">
        <f ca="1">IF(BF48&gt;0,IF(ISNUMBER(Schoonmaaknormen!F48),Schoonmaaknormen!BF48/Schoonmaaknormen!F48,0),"")</f>
        <v/>
      </c>
      <c r="BW48" s="314" t="str">
        <f ca="1">IF(BG48&gt;0,IF(ISNUMBER(Schoonmaaknormen!G48),Schoonmaaknormen!BG48/Schoonmaaknormen!G48,0),"")</f>
        <v/>
      </c>
      <c r="BX48" s="314" t="str">
        <f ca="1">IF(BH48&gt;0,IF(ISNUMBER(Schoonmaaknormen!H48),Schoonmaaknormen!BH48/Schoonmaaknormen!H48,0),"")</f>
        <v/>
      </c>
      <c r="BY48" s="314" t="str">
        <f ca="1">IF(BI48&gt;0,IF(ISNUMBER(Schoonmaaknormen!I48),Schoonmaaknormen!BI48/Schoonmaaknormen!I48,0),"")</f>
        <v/>
      </c>
      <c r="BZ48" s="314" t="str">
        <f ca="1">IF(BJ48&gt;0,IF(ISNUMBER(Schoonmaaknormen!J48),Schoonmaaknormen!BJ48/Schoonmaaknormen!J48,0),"")</f>
        <v/>
      </c>
      <c r="CA48" s="549"/>
      <c r="CB48" s="553"/>
    </row>
    <row r="49" spans="1:80" ht="0.2" customHeight="1" x14ac:dyDescent="0.2">
      <c r="A49" s="172">
        <f ca="1">Ruimtestaat!A49</f>
        <v>2</v>
      </c>
      <c r="B49" s="557"/>
      <c r="C49" s="11">
        <v>52</v>
      </c>
      <c r="D49" s="309"/>
      <c r="E49" s="310"/>
      <c r="F49" s="310"/>
      <c r="G49" s="310"/>
      <c r="H49" s="310"/>
      <c r="I49" s="312"/>
      <c r="J49" s="312"/>
      <c r="K49" s="561"/>
      <c r="L49" s="553"/>
      <c r="M49" s="172" t="b">
        <f>IF(_xlfn.XLOOKUP(BB49,Tabel2[Locatiecode],Tabel2[Type locatie],"",0)="vaccin",TRUE,FALSE)</f>
        <v>0</v>
      </c>
      <c r="BB49" s="284" t="str">
        <f>IF(Ruimtestaat!BC49="","",Ruimtestaat!BC49)</f>
        <v>ALK-ZEV</v>
      </c>
      <c r="BC49" s="285">
        <f t="shared" si="0"/>
        <v>52</v>
      </c>
      <c r="BD49" s="286">
        <f ca="1">Ruimtestaat!D49*$BC49</f>
        <v>0</v>
      </c>
      <c r="BE49" s="287">
        <f ca="1">Ruimtestaat!E49*$BC49</f>
        <v>0</v>
      </c>
      <c r="BF49" s="287">
        <f ca="1">Ruimtestaat!F49*$BC49</f>
        <v>0</v>
      </c>
      <c r="BG49" s="287">
        <f ca="1">Ruimtestaat!G49*$BC49</f>
        <v>0</v>
      </c>
      <c r="BH49" s="287">
        <f ca="1">Ruimtestaat!H49*$BC49</f>
        <v>0</v>
      </c>
      <c r="BI49" s="288">
        <f ca="1">Ruimtestaat!I49*$BC49</f>
        <v>0</v>
      </c>
      <c r="BJ49" s="289">
        <f ca="1">Ruimtestaat!J49*$BC49</f>
        <v>0</v>
      </c>
      <c r="BK49" s="553"/>
      <c r="BR49" s="284" t="str">
        <f>IF(Ruimtestaat!BC49="","",Ruimtestaat!BC49)</f>
        <v>ALK-ZEV</v>
      </c>
      <c r="BS49" s="285">
        <f t="shared" si="1"/>
        <v>52</v>
      </c>
      <c r="BT49" s="286" t="str">
        <f ca="1">IF(BD49&gt;0,IF(ISNUMBER(Schoonmaaknormen!D49),Schoonmaaknormen!BD49/Schoonmaaknormen!D49,0),"")</f>
        <v/>
      </c>
      <c r="BU49" s="287" t="str">
        <f ca="1">IF(BE49&gt;0,IF(ISNUMBER(Schoonmaaknormen!E49),Schoonmaaknormen!BE49/Schoonmaaknormen!E49,0),"")</f>
        <v/>
      </c>
      <c r="BV49" s="287" t="str">
        <f ca="1">IF(BF49&gt;0,IF(ISNUMBER(Schoonmaaknormen!F49),Schoonmaaknormen!BF49/Schoonmaaknormen!F49,0),"")</f>
        <v/>
      </c>
      <c r="BW49" s="287" t="str">
        <f ca="1">IF(BG49&gt;0,IF(ISNUMBER(Schoonmaaknormen!G49),Schoonmaaknormen!BG49/Schoonmaaknormen!G49,0),"")</f>
        <v/>
      </c>
      <c r="BX49" s="287" t="str">
        <f ca="1">IF(BH49&gt;0,IF(ISNUMBER(Schoonmaaknormen!H49),Schoonmaaknormen!BH49/Schoonmaaknormen!H49,0),"")</f>
        <v/>
      </c>
      <c r="BY49" s="287" t="str">
        <f ca="1">IF(BI49&gt;0,IF(ISNUMBER(Schoonmaaknormen!I49),Schoonmaaknormen!BI49/Schoonmaaknormen!I49,0),"")</f>
        <v/>
      </c>
      <c r="BZ49" s="287" t="str">
        <f ca="1">IF(BJ49&gt;0,IF(ISNUMBER(Schoonmaaknormen!J49),Schoonmaaknormen!BJ49/Schoonmaaknormen!J49,0),"")</f>
        <v/>
      </c>
      <c r="CA49" s="549"/>
      <c r="CB49" s="553"/>
    </row>
    <row r="50" spans="1:80" ht="0.2" customHeight="1" x14ac:dyDescent="0.2">
      <c r="A50" s="172">
        <f ca="1">Ruimtestaat!A50</f>
        <v>2</v>
      </c>
      <c r="B50" s="558"/>
      <c r="C50" s="290">
        <v>4</v>
      </c>
      <c r="D50" s="186"/>
      <c r="E50" s="187"/>
      <c r="F50" s="187"/>
      <c r="G50" s="187"/>
      <c r="H50" s="187"/>
      <c r="I50" s="189"/>
      <c r="J50" s="189"/>
      <c r="K50" s="562"/>
      <c r="L50" s="554"/>
      <c r="M50" s="172" t="b">
        <f>IF(_xlfn.XLOOKUP(BB50,Tabel2[Locatiecode],Tabel2[Type locatie],"",0)="vaccin",TRUE,FALSE)</f>
        <v>0</v>
      </c>
      <c r="BB50" s="291" t="str">
        <f>IF(Ruimtestaat!BC50="","",Ruimtestaat!BC50)</f>
        <v>ALK-ZEV</v>
      </c>
      <c r="BC50" s="292">
        <f t="shared" si="0"/>
        <v>4</v>
      </c>
      <c r="BD50" s="293">
        <f ca="1">Ruimtestaat!D50*$BC50</f>
        <v>0</v>
      </c>
      <c r="BE50" s="294">
        <f ca="1">Ruimtestaat!E50*$BC50</f>
        <v>0</v>
      </c>
      <c r="BF50" s="294">
        <f ca="1">Ruimtestaat!F50*$BC50</f>
        <v>0</v>
      </c>
      <c r="BG50" s="294">
        <f ca="1">Ruimtestaat!G50*$BC50</f>
        <v>0</v>
      </c>
      <c r="BH50" s="294">
        <f ca="1">Ruimtestaat!H50*$BC50</f>
        <v>0</v>
      </c>
      <c r="BI50" s="295">
        <f ca="1">Ruimtestaat!I50*$BC50</f>
        <v>0</v>
      </c>
      <c r="BJ50" s="296">
        <f ca="1">Ruimtestaat!J50*$BC50</f>
        <v>0</v>
      </c>
      <c r="BK50" s="554"/>
      <c r="BR50" s="291" t="str">
        <f>IF(Ruimtestaat!BC50="","",Ruimtestaat!BC50)</f>
        <v>ALK-ZEV</v>
      </c>
      <c r="BS50" s="292">
        <f t="shared" si="1"/>
        <v>4</v>
      </c>
      <c r="BT50" s="293" t="str">
        <f ca="1">IF(BD50&gt;0,IF(ISNUMBER(Schoonmaaknormen!D50),Schoonmaaknormen!BD50/Schoonmaaknormen!D50,0),"")</f>
        <v/>
      </c>
      <c r="BU50" s="294" t="str">
        <f ca="1">IF(BE50&gt;0,IF(ISNUMBER(Schoonmaaknormen!E50),Schoonmaaknormen!BE50/Schoonmaaknormen!E50,0),"")</f>
        <v/>
      </c>
      <c r="BV50" s="294" t="str">
        <f ca="1">IF(BF50&gt;0,IF(ISNUMBER(Schoonmaaknormen!F50),Schoonmaaknormen!BF50/Schoonmaaknormen!F50,0),"")</f>
        <v/>
      </c>
      <c r="BW50" s="294" t="str">
        <f ca="1">IF(BG50&gt;0,IF(ISNUMBER(Schoonmaaknormen!G50),Schoonmaaknormen!BG50/Schoonmaaknormen!G50,0),"")</f>
        <v/>
      </c>
      <c r="BX50" s="294" t="str">
        <f ca="1">IF(BH50&gt;0,IF(ISNUMBER(Schoonmaaknormen!H50),Schoonmaaknormen!BH50/Schoonmaaknormen!H50,0),"")</f>
        <v/>
      </c>
      <c r="BY50" s="294" t="str">
        <f ca="1">IF(BI50&gt;0,IF(ISNUMBER(Schoonmaaknormen!I50),Schoonmaaknormen!BI50/Schoonmaaknormen!I50,0),"")</f>
        <v/>
      </c>
      <c r="BZ50" s="294" t="str">
        <f ca="1">IF(BJ50&gt;0,IF(ISNUMBER(Schoonmaaknormen!J50),Schoonmaaknormen!BJ50/Schoonmaaknormen!J50,0),"")</f>
        <v/>
      </c>
      <c r="CA50" s="555"/>
      <c r="CB50" s="554"/>
    </row>
    <row r="51" spans="1:80" ht="15" customHeight="1" x14ac:dyDescent="0.2">
      <c r="A51" s="172">
        <f ca="1">Ruimtestaat!A51</f>
        <v>1</v>
      </c>
      <c r="B51" s="556" t="str">
        <f>BB51</f>
        <v>ANP-DVW</v>
      </c>
      <c r="C51" s="298">
        <v>255</v>
      </c>
      <c r="D51" s="299"/>
      <c r="E51" s="300"/>
      <c r="F51" s="300"/>
      <c r="G51" s="300"/>
      <c r="H51" s="300"/>
      <c r="I51" s="302"/>
      <c r="J51" s="302"/>
      <c r="K51" s="559"/>
      <c r="L51" s="551" t="str" cm="1">
        <f t="array" aca="1" ref="L51" ca="1">_xlfn.IFS(A51=2,"",COUNTBLANK(D51:J56)=COUNTIF(Ruimtestaat!D51:J56,"&lt;=0"),BK51/CB51,TRUE,"")</f>
        <v/>
      </c>
      <c r="M51" s="172" t="b">
        <f>IF(_xlfn.XLOOKUP(BB51,Tabel2[Locatiecode],Tabel2[Type locatie],"",0)="vaccin",TRUE,FALSE)</f>
        <v>0</v>
      </c>
      <c r="BB51" s="303" t="str">
        <f>IF(Ruimtestaat!BC51="","",Ruimtestaat!BC51)</f>
        <v>ANP-DVW</v>
      </c>
      <c r="BC51" s="304">
        <f t="shared" si="0"/>
        <v>255</v>
      </c>
      <c r="BD51" s="305">
        <f ca="1">Ruimtestaat!D51*$BC51</f>
        <v>10276.5</v>
      </c>
      <c r="BE51" s="306">
        <f ca="1">Ruimtestaat!E51*$BC51</f>
        <v>5278.5</v>
      </c>
      <c r="BF51" s="306">
        <f ca="1">Ruimtestaat!F51*$BC51</f>
        <v>10352.999999999998</v>
      </c>
      <c r="BG51" s="306">
        <f ca="1">Ruimtestaat!G51*$BC51</f>
        <v>0</v>
      </c>
      <c r="BH51" s="306">
        <f ca="1">Ruimtestaat!H51*$BC51</f>
        <v>306</v>
      </c>
      <c r="BI51" s="307">
        <f ca="1">Ruimtestaat!I51*$BC51</f>
        <v>13081.5</v>
      </c>
      <c r="BJ51" s="308">
        <f ca="1">Ruimtestaat!J51*$BC51</f>
        <v>0</v>
      </c>
      <c r="BK51" s="552">
        <f ca="1">SUM(BD51:BJ56)</f>
        <v>39295.5</v>
      </c>
      <c r="BR51" s="303" t="str">
        <f>IF(Ruimtestaat!BC51="","",Ruimtestaat!BC51)</f>
        <v>ANP-DVW</v>
      </c>
      <c r="BS51" s="304">
        <f t="shared" si="1"/>
        <v>255</v>
      </c>
      <c r="BT51" s="305">
        <f ca="1">IF(BD51&gt;0,IF(ISNUMBER(Schoonmaaknormen!D51),Schoonmaaknormen!BD51/Schoonmaaknormen!D51,0),"")</f>
        <v>0</v>
      </c>
      <c r="BU51" s="306">
        <f ca="1">IF(BE51&gt;0,IF(ISNUMBER(Schoonmaaknormen!E51),Schoonmaaknormen!BE51/Schoonmaaknormen!E51,0),"")</f>
        <v>0</v>
      </c>
      <c r="BV51" s="306">
        <f ca="1">IF(BF51&gt;0,IF(ISNUMBER(Schoonmaaknormen!F51),Schoonmaaknormen!BF51/Schoonmaaknormen!F51,0),"")</f>
        <v>0</v>
      </c>
      <c r="BW51" s="306" t="str">
        <f ca="1">IF(BG51&gt;0,IF(ISNUMBER(Schoonmaaknormen!G51),Schoonmaaknormen!BG51/Schoonmaaknormen!G51,0),"")</f>
        <v/>
      </c>
      <c r="BX51" s="306">
        <f ca="1">IF(BH51&gt;0,IF(ISNUMBER(Schoonmaaknormen!H51),Schoonmaaknormen!BH51/Schoonmaaknormen!H51,0),"")</f>
        <v>0</v>
      </c>
      <c r="BY51" s="306">
        <f ca="1">IF(BI51&gt;0,IF(ISNUMBER(Schoonmaaknormen!I51),Schoonmaaknormen!BI51/Schoonmaaknormen!I51,0),"")</f>
        <v>0</v>
      </c>
      <c r="BZ51" s="306" t="str">
        <f ca="1">IF(BJ51&gt;0,IF(ISNUMBER(Schoonmaaknormen!J51),Schoonmaaknormen!BJ51/Schoonmaaknormen!J51,0),"")</f>
        <v/>
      </c>
      <c r="CA51" s="547" t="str" cm="1">
        <f t="array" ref="CA51">IF(ISNUMBER(K51),IF(SUM(BT51:BZ56)/LARGE(_xlfn._xlws.FILTER(Ruimtestaat!BD:BD,Ruimtestaat!BC:BC=BR51),1)&lt;K51,K51*LARGE(_xlfn._xlws.FILTER(Ruimtestaat!BD:BD,Ruimtestaat!BC:BC=BR51),1)-SUM(BT51:BZ56),0),"")</f>
        <v/>
      </c>
      <c r="CB51" s="551">
        <f ca="1">SUM(BT51:CA56)</f>
        <v>0</v>
      </c>
    </row>
    <row r="52" spans="1:80" ht="0.2" customHeight="1" x14ac:dyDescent="0.2">
      <c r="A52" s="172">
        <f ca="1">Ruimtestaat!A52</f>
        <v>2</v>
      </c>
      <c r="B52" s="557"/>
      <c r="C52" s="11">
        <v>204</v>
      </c>
      <c r="D52" s="309"/>
      <c r="E52" s="310"/>
      <c r="F52" s="310"/>
      <c r="G52" s="310"/>
      <c r="H52" s="310"/>
      <c r="I52" s="312"/>
      <c r="J52" s="312"/>
      <c r="K52" s="560"/>
      <c r="L52" s="552"/>
      <c r="M52" s="172" t="b">
        <f>IF(_xlfn.XLOOKUP(BB52,Tabel2[Locatiecode],Tabel2[Type locatie],"",0)="vaccin",TRUE,FALSE)</f>
        <v>0</v>
      </c>
      <c r="BB52" s="272" t="str">
        <f>IF(Ruimtestaat!BC52="","",Ruimtestaat!BC52)</f>
        <v>ANP-DVW</v>
      </c>
      <c r="BC52" s="273">
        <f t="shared" si="0"/>
        <v>204</v>
      </c>
      <c r="BD52" s="274">
        <f ca="1">Ruimtestaat!D52*$BC52</f>
        <v>0</v>
      </c>
      <c r="BE52" s="275">
        <f ca="1">Ruimtestaat!E52*$BC52</f>
        <v>0</v>
      </c>
      <c r="BF52" s="275">
        <f ca="1">Ruimtestaat!F52*$BC52</f>
        <v>0</v>
      </c>
      <c r="BG52" s="275">
        <f ca="1">Ruimtestaat!G52*$BC52</f>
        <v>0</v>
      </c>
      <c r="BH52" s="275">
        <f ca="1">Ruimtestaat!H52*$BC52</f>
        <v>0</v>
      </c>
      <c r="BI52" s="276">
        <f ca="1">Ruimtestaat!I52*$BC52</f>
        <v>0</v>
      </c>
      <c r="BJ52" s="277">
        <f ca="1">Ruimtestaat!J52*$BC52</f>
        <v>0</v>
      </c>
      <c r="BK52" s="552"/>
      <c r="BR52" s="272" t="str">
        <f>IF(Ruimtestaat!BC52="","",Ruimtestaat!BC52)</f>
        <v>ANP-DVW</v>
      </c>
      <c r="BS52" s="273">
        <f t="shared" si="1"/>
        <v>204</v>
      </c>
      <c r="BT52" s="274" t="str">
        <f ca="1">IF(BD52&gt;0,IF(ISNUMBER(Schoonmaaknormen!D52),Schoonmaaknormen!BD52/Schoonmaaknormen!D52,0),"")</f>
        <v/>
      </c>
      <c r="BU52" s="275" t="str">
        <f ca="1">IF(BE52&gt;0,IF(ISNUMBER(Schoonmaaknormen!E52),Schoonmaaknormen!BE52/Schoonmaaknormen!E52,0),"")</f>
        <v/>
      </c>
      <c r="BV52" s="275" t="str">
        <f ca="1">IF(BF52&gt;0,IF(ISNUMBER(Schoonmaaknormen!F52),Schoonmaaknormen!BF52/Schoonmaaknormen!F52,0),"")</f>
        <v/>
      </c>
      <c r="BW52" s="275" t="str">
        <f ca="1">IF(BG52&gt;0,IF(ISNUMBER(Schoonmaaknormen!G52),Schoonmaaknormen!BG52/Schoonmaaknormen!G52,0),"")</f>
        <v/>
      </c>
      <c r="BX52" s="275" t="str">
        <f ca="1">IF(BH52&gt;0,IF(ISNUMBER(Schoonmaaknormen!H52),Schoonmaaknormen!BH52/Schoonmaaknormen!H52,0),"")</f>
        <v/>
      </c>
      <c r="BY52" s="275" t="str">
        <f ca="1">IF(BI52&gt;0,IF(ISNUMBER(Schoonmaaknormen!I52),Schoonmaaknormen!BI52/Schoonmaaknormen!I52,0),"")</f>
        <v/>
      </c>
      <c r="BZ52" s="275" t="str">
        <f ca="1">IF(BJ52&gt;0,IF(ISNUMBER(Schoonmaaknormen!J52),Schoonmaaknormen!BJ52/Schoonmaaknormen!J52,0),"")</f>
        <v/>
      </c>
      <c r="CA52" s="548"/>
      <c r="CB52" s="552"/>
    </row>
    <row r="53" spans="1:80" ht="0.2" customHeight="1" x14ac:dyDescent="0.2">
      <c r="A53" s="172">
        <f ca="1">Ruimtestaat!A53</f>
        <v>2</v>
      </c>
      <c r="B53" s="557"/>
      <c r="C53" s="11">
        <v>156</v>
      </c>
      <c r="D53" s="309"/>
      <c r="E53" s="310"/>
      <c r="F53" s="310"/>
      <c r="G53" s="310"/>
      <c r="H53" s="310"/>
      <c r="I53" s="312"/>
      <c r="J53" s="312"/>
      <c r="K53" s="560"/>
      <c r="L53" s="552"/>
      <c r="M53" s="172" t="b">
        <f>IF(_xlfn.XLOOKUP(BB53,Tabel2[Locatiecode],Tabel2[Type locatie],"",0)="vaccin",TRUE,FALSE)</f>
        <v>0</v>
      </c>
      <c r="BB53" s="272" t="str">
        <f>IF(Ruimtestaat!BC53="","",Ruimtestaat!BC53)</f>
        <v>ANP-DVW</v>
      </c>
      <c r="BC53" s="273">
        <f t="shared" si="0"/>
        <v>156</v>
      </c>
      <c r="BD53" s="274">
        <f ca="1">Ruimtestaat!D53*$BC53</f>
        <v>0</v>
      </c>
      <c r="BE53" s="275">
        <f ca="1">Ruimtestaat!E53*$BC53</f>
        <v>0</v>
      </c>
      <c r="BF53" s="275">
        <f ca="1">Ruimtestaat!F53*$BC53</f>
        <v>0</v>
      </c>
      <c r="BG53" s="275">
        <f ca="1">Ruimtestaat!G53*$BC53</f>
        <v>0</v>
      </c>
      <c r="BH53" s="275">
        <f ca="1">Ruimtestaat!H53*$BC53</f>
        <v>0</v>
      </c>
      <c r="BI53" s="276">
        <f ca="1">Ruimtestaat!I53*$BC53</f>
        <v>0</v>
      </c>
      <c r="BJ53" s="277">
        <f ca="1">Ruimtestaat!J53*$BC53</f>
        <v>0</v>
      </c>
      <c r="BK53" s="552"/>
      <c r="BR53" s="272" t="str">
        <f>IF(Ruimtestaat!BC53="","",Ruimtestaat!BC53)</f>
        <v>ANP-DVW</v>
      </c>
      <c r="BS53" s="273">
        <f t="shared" si="1"/>
        <v>156</v>
      </c>
      <c r="BT53" s="274" t="str">
        <f ca="1">IF(BD53&gt;0,IF(ISNUMBER(Schoonmaaknormen!D53),Schoonmaaknormen!BD53/Schoonmaaknormen!D53,0),"")</f>
        <v/>
      </c>
      <c r="BU53" s="275" t="str">
        <f ca="1">IF(BE53&gt;0,IF(ISNUMBER(Schoonmaaknormen!E53),Schoonmaaknormen!BE53/Schoonmaaknormen!E53,0),"")</f>
        <v/>
      </c>
      <c r="BV53" s="275" t="str">
        <f ca="1">IF(BF53&gt;0,IF(ISNUMBER(Schoonmaaknormen!F53),Schoonmaaknormen!BF53/Schoonmaaknormen!F53,0),"")</f>
        <v/>
      </c>
      <c r="BW53" s="275" t="str">
        <f ca="1">IF(BG53&gt;0,IF(ISNUMBER(Schoonmaaknormen!G53),Schoonmaaknormen!BG53/Schoonmaaknormen!G53,0),"")</f>
        <v/>
      </c>
      <c r="BX53" s="275" t="str">
        <f ca="1">IF(BH53&gt;0,IF(ISNUMBER(Schoonmaaknormen!H53),Schoonmaaknormen!BH53/Schoonmaaknormen!H53,0),"")</f>
        <v/>
      </c>
      <c r="BY53" s="275" t="str">
        <f ca="1">IF(BI53&gt;0,IF(ISNUMBER(Schoonmaaknormen!I53),Schoonmaaknormen!BI53/Schoonmaaknormen!I53,0),"")</f>
        <v/>
      </c>
      <c r="BZ53" s="275" t="str">
        <f ca="1">IF(BJ53&gt;0,IF(ISNUMBER(Schoonmaaknormen!J53),Schoonmaaknormen!BJ53/Schoonmaaknormen!J53,0),"")</f>
        <v/>
      </c>
      <c r="CA53" s="548"/>
      <c r="CB53" s="552"/>
    </row>
    <row r="54" spans="1:80" ht="0.2" customHeight="1" x14ac:dyDescent="0.2">
      <c r="A54" s="172">
        <f ca="1">Ruimtestaat!A54</f>
        <v>2</v>
      </c>
      <c r="B54" s="557"/>
      <c r="C54" s="11">
        <v>104</v>
      </c>
      <c r="D54" s="309"/>
      <c r="E54" s="310"/>
      <c r="F54" s="310"/>
      <c r="G54" s="310"/>
      <c r="H54" s="310"/>
      <c r="I54" s="312"/>
      <c r="J54" s="312"/>
      <c r="K54" s="561"/>
      <c r="L54" s="553"/>
      <c r="M54" s="172" t="b">
        <f>IF(_xlfn.XLOOKUP(BB54,Tabel2[Locatiecode],Tabel2[Type locatie],"",0)="vaccin",TRUE,FALSE)</f>
        <v>0</v>
      </c>
      <c r="BB54" s="278" t="str">
        <f>IF(Ruimtestaat!BC54="","",Ruimtestaat!BC54)</f>
        <v>ANP-DVW</v>
      </c>
      <c r="BC54" s="279">
        <f t="shared" si="0"/>
        <v>104</v>
      </c>
      <c r="BD54" s="280">
        <f ca="1">Ruimtestaat!D54*$BC54</f>
        <v>0</v>
      </c>
      <c r="BE54" s="281">
        <f ca="1">Ruimtestaat!E54*$BC54</f>
        <v>0</v>
      </c>
      <c r="BF54" s="281">
        <f ca="1">Ruimtestaat!F54*$BC54</f>
        <v>0</v>
      </c>
      <c r="BG54" s="281">
        <f ca="1">Ruimtestaat!G54*$BC54</f>
        <v>0</v>
      </c>
      <c r="BH54" s="281">
        <f ca="1">Ruimtestaat!H54*$BC54</f>
        <v>0</v>
      </c>
      <c r="BI54" s="282">
        <f ca="1">Ruimtestaat!I54*$BC54</f>
        <v>0</v>
      </c>
      <c r="BJ54" s="283">
        <f ca="1">Ruimtestaat!J54*$BC54</f>
        <v>0</v>
      </c>
      <c r="BK54" s="553"/>
      <c r="BR54" s="278" t="str">
        <f>IF(Ruimtestaat!BC54="","",Ruimtestaat!BC54)</f>
        <v>ANP-DVW</v>
      </c>
      <c r="BS54" s="313">
        <f t="shared" si="1"/>
        <v>104</v>
      </c>
      <c r="BT54" s="280" t="str">
        <f ca="1">IF(BD54&gt;0,IF(ISNUMBER(Schoonmaaknormen!D54),Schoonmaaknormen!BD54/Schoonmaaknormen!D54,0),"")</f>
        <v/>
      </c>
      <c r="BU54" s="314" t="str">
        <f ca="1">IF(BE54&gt;0,IF(ISNUMBER(Schoonmaaknormen!E54),Schoonmaaknormen!BE54/Schoonmaaknormen!E54,0),"")</f>
        <v/>
      </c>
      <c r="BV54" s="314" t="str">
        <f ca="1">IF(BF54&gt;0,IF(ISNUMBER(Schoonmaaknormen!F54),Schoonmaaknormen!BF54/Schoonmaaknormen!F54,0),"")</f>
        <v/>
      </c>
      <c r="BW54" s="314" t="str">
        <f ca="1">IF(BG54&gt;0,IF(ISNUMBER(Schoonmaaknormen!G54),Schoonmaaknormen!BG54/Schoonmaaknormen!G54,0),"")</f>
        <v/>
      </c>
      <c r="BX54" s="314" t="str">
        <f ca="1">IF(BH54&gt;0,IF(ISNUMBER(Schoonmaaknormen!H54),Schoonmaaknormen!BH54/Schoonmaaknormen!H54,0),"")</f>
        <v/>
      </c>
      <c r="BY54" s="314" t="str">
        <f ca="1">IF(BI54&gt;0,IF(ISNUMBER(Schoonmaaknormen!I54),Schoonmaaknormen!BI54/Schoonmaaknormen!I54,0),"")</f>
        <v/>
      </c>
      <c r="BZ54" s="314" t="str">
        <f ca="1">IF(BJ54&gt;0,IF(ISNUMBER(Schoonmaaknormen!J54),Schoonmaaknormen!BJ54/Schoonmaaknormen!J54,0),"")</f>
        <v/>
      </c>
      <c r="CA54" s="549"/>
      <c r="CB54" s="553"/>
    </row>
    <row r="55" spans="1:80" ht="0.2" customHeight="1" x14ac:dyDescent="0.2">
      <c r="A55" s="172">
        <f ca="1">Ruimtestaat!A55</f>
        <v>2</v>
      </c>
      <c r="B55" s="557"/>
      <c r="C55" s="11">
        <v>52</v>
      </c>
      <c r="D55" s="309"/>
      <c r="E55" s="310"/>
      <c r="F55" s="310"/>
      <c r="G55" s="310"/>
      <c r="H55" s="310"/>
      <c r="I55" s="312"/>
      <c r="J55" s="312"/>
      <c r="K55" s="561"/>
      <c r="L55" s="553"/>
      <c r="M55" s="172" t="b">
        <f>IF(_xlfn.XLOOKUP(BB55,Tabel2[Locatiecode],Tabel2[Type locatie],"",0)="vaccin",TRUE,FALSE)</f>
        <v>0</v>
      </c>
      <c r="BB55" s="284" t="str">
        <f>IF(Ruimtestaat!BC55="","",Ruimtestaat!BC55)</f>
        <v>ANP-DVW</v>
      </c>
      <c r="BC55" s="285">
        <f t="shared" si="0"/>
        <v>52</v>
      </c>
      <c r="BD55" s="286">
        <f ca="1">Ruimtestaat!D55*$BC55</f>
        <v>0</v>
      </c>
      <c r="BE55" s="287">
        <f ca="1">Ruimtestaat!E55*$BC55</f>
        <v>0</v>
      </c>
      <c r="BF55" s="287">
        <f ca="1">Ruimtestaat!F55*$BC55</f>
        <v>0</v>
      </c>
      <c r="BG55" s="287">
        <f ca="1">Ruimtestaat!G55*$BC55</f>
        <v>0</v>
      </c>
      <c r="BH55" s="287">
        <f ca="1">Ruimtestaat!H55*$BC55</f>
        <v>0</v>
      </c>
      <c r="BI55" s="288">
        <f ca="1">Ruimtestaat!I55*$BC55</f>
        <v>0</v>
      </c>
      <c r="BJ55" s="289">
        <f ca="1">Ruimtestaat!J55*$BC55</f>
        <v>0</v>
      </c>
      <c r="BK55" s="553"/>
      <c r="BR55" s="284" t="str">
        <f>IF(Ruimtestaat!BC55="","",Ruimtestaat!BC55)</f>
        <v>ANP-DVW</v>
      </c>
      <c r="BS55" s="285">
        <f t="shared" si="1"/>
        <v>52</v>
      </c>
      <c r="BT55" s="286" t="str">
        <f ca="1">IF(BD55&gt;0,IF(ISNUMBER(Schoonmaaknormen!D55),Schoonmaaknormen!BD55/Schoonmaaknormen!D55,0),"")</f>
        <v/>
      </c>
      <c r="BU55" s="287" t="str">
        <f ca="1">IF(BE55&gt;0,IF(ISNUMBER(Schoonmaaknormen!E55),Schoonmaaknormen!BE55/Schoonmaaknormen!E55,0),"")</f>
        <v/>
      </c>
      <c r="BV55" s="287" t="str">
        <f ca="1">IF(BF55&gt;0,IF(ISNUMBER(Schoonmaaknormen!F55),Schoonmaaknormen!BF55/Schoonmaaknormen!F55,0),"")</f>
        <v/>
      </c>
      <c r="BW55" s="287" t="str">
        <f ca="1">IF(BG55&gt;0,IF(ISNUMBER(Schoonmaaknormen!G55),Schoonmaaknormen!BG55/Schoonmaaknormen!G55,0),"")</f>
        <v/>
      </c>
      <c r="BX55" s="287" t="str">
        <f ca="1">IF(BH55&gt;0,IF(ISNUMBER(Schoonmaaknormen!H55),Schoonmaaknormen!BH55/Schoonmaaknormen!H55,0),"")</f>
        <v/>
      </c>
      <c r="BY55" s="287" t="str">
        <f ca="1">IF(BI55&gt;0,IF(ISNUMBER(Schoonmaaknormen!I55),Schoonmaaknormen!BI55/Schoonmaaknormen!I55,0),"")</f>
        <v/>
      </c>
      <c r="BZ55" s="287" t="str">
        <f ca="1">IF(BJ55&gt;0,IF(ISNUMBER(Schoonmaaknormen!J55),Schoonmaaknormen!BJ55/Schoonmaaknormen!J55,0),"")</f>
        <v/>
      </c>
      <c r="CA55" s="549"/>
      <c r="CB55" s="553"/>
    </row>
    <row r="56" spans="1:80" ht="0.2" customHeight="1" x14ac:dyDescent="0.2">
      <c r="A56" s="172">
        <f ca="1">Ruimtestaat!A56</f>
        <v>2</v>
      </c>
      <c r="B56" s="558"/>
      <c r="C56" s="290">
        <v>4</v>
      </c>
      <c r="D56" s="186"/>
      <c r="E56" s="187"/>
      <c r="F56" s="187"/>
      <c r="G56" s="187"/>
      <c r="H56" s="187"/>
      <c r="I56" s="189"/>
      <c r="J56" s="189"/>
      <c r="K56" s="562"/>
      <c r="L56" s="554"/>
      <c r="M56" s="172" t="b">
        <f>IF(_xlfn.XLOOKUP(BB56,Tabel2[Locatiecode],Tabel2[Type locatie],"",0)="vaccin",TRUE,FALSE)</f>
        <v>0</v>
      </c>
      <c r="BB56" s="291" t="str">
        <f>IF(Ruimtestaat!BC56="","",Ruimtestaat!BC56)</f>
        <v>ANP-DVW</v>
      </c>
      <c r="BC56" s="292">
        <f t="shared" si="0"/>
        <v>4</v>
      </c>
      <c r="BD56" s="293">
        <f ca="1">Ruimtestaat!D56*$BC56</f>
        <v>0</v>
      </c>
      <c r="BE56" s="294">
        <f ca="1">Ruimtestaat!E56*$BC56</f>
        <v>0</v>
      </c>
      <c r="BF56" s="294">
        <f ca="1">Ruimtestaat!F56*$BC56</f>
        <v>0</v>
      </c>
      <c r="BG56" s="294">
        <f ca="1">Ruimtestaat!G56*$BC56</f>
        <v>0</v>
      </c>
      <c r="BH56" s="294">
        <f ca="1">Ruimtestaat!H56*$BC56</f>
        <v>0</v>
      </c>
      <c r="BI56" s="295">
        <f ca="1">Ruimtestaat!I56*$BC56</f>
        <v>0</v>
      </c>
      <c r="BJ56" s="296">
        <f ca="1">Ruimtestaat!J56*$BC56</f>
        <v>0</v>
      </c>
      <c r="BK56" s="554"/>
      <c r="BR56" s="291" t="str">
        <f>IF(Ruimtestaat!BC56="","",Ruimtestaat!BC56)</f>
        <v>ANP-DVW</v>
      </c>
      <c r="BS56" s="292">
        <f t="shared" si="1"/>
        <v>4</v>
      </c>
      <c r="BT56" s="293" t="str">
        <f ca="1">IF(BD56&gt;0,IF(ISNUMBER(Schoonmaaknormen!D56),Schoonmaaknormen!BD56/Schoonmaaknormen!D56,0),"")</f>
        <v/>
      </c>
      <c r="BU56" s="294" t="str">
        <f ca="1">IF(BE56&gt;0,IF(ISNUMBER(Schoonmaaknormen!E56),Schoonmaaknormen!BE56/Schoonmaaknormen!E56,0),"")</f>
        <v/>
      </c>
      <c r="BV56" s="294" t="str">
        <f ca="1">IF(BF56&gt;0,IF(ISNUMBER(Schoonmaaknormen!F56),Schoonmaaknormen!BF56/Schoonmaaknormen!F56,0),"")</f>
        <v/>
      </c>
      <c r="BW56" s="294" t="str">
        <f ca="1">IF(BG56&gt;0,IF(ISNUMBER(Schoonmaaknormen!G56),Schoonmaaknormen!BG56/Schoonmaaknormen!G56,0),"")</f>
        <v/>
      </c>
      <c r="BX56" s="294" t="str">
        <f ca="1">IF(BH56&gt;0,IF(ISNUMBER(Schoonmaaknormen!H56),Schoonmaaknormen!BH56/Schoonmaaknormen!H56,0),"")</f>
        <v/>
      </c>
      <c r="BY56" s="294" t="str">
        <f ca="1">IF(BI56&gt;0,IF(ISNUMBER(Schoonmaaknormen!I56),Schoonmaaknormen!BI56/Schoonmaaknormen!I56,0),"")</f>
        <v/>
      </c>
      <c r="BZ56" s="294" t="str">
        <f ca="1">IF(BJ56&gt;0,IF(ISNUMBER(Schoonmaaknormen!J56),Schoonmaaknormen!BJ56/Schoonmaaknormen!J56,0),"")</f>
        <v/>
      </c>
      <c r="CA56" s="555"/>
      <c r="CB56" s="554"/>
    </row>
    <row r="57" spans="1:80" ht="15" customHeight="1" x14ac:dyDescent="0.2">
      <c r="A57" s="172">
        <f ca="1">Ruimtestaat!A57</f>
        <v>1</v>
      </c>
      <c r="B57" s="556" t="str">
        <f>BB57</f>
        <v>BKS-RTH</v>
      </c>
      <c r="C57" s="298">
        <v>255</v>
      </c>
      <c r="D57" s="299"/>
      <c r="E57" s="300"/>
      <c r="F57" s="300"/>
      <c r="G57" s="300"/>
      <c r="H57" s="300"/>
      <c r="I57" s="302"/>
      <c r="J57" s="302"/>
      <c r="K57" s="559"/>
      <c r="L57" s="551" t="str" cm="1">
        <f t="array" aca="1" ref="L57" ca="1">_xlfn.IFS(A57=2,"",COUNTBLANK(D57:J62)=COUNTIF(Ruimtestaat!D57:J62,"&lt;=0"),BK57/CB57,TRUE,"")</f>
        <v/>
      </c>
      <c r="M57" s="172" t="b">
        <f>IF(_xlfn.XLOOKUP(BB57,Tabel2[Locatiecode],Tabel2[Type locatie],"",0)="vaccin",TRUE,FALSE)</f>
        <v>0</v>
      </c>
      <c r="BB57" s="303" t="str">
        <f>IF(Ruimtestaat!BC57="","",Ruimtestaat!BC57)</f>
        <v>BKS-RTH</v>
      </c>
      <c r="BC57" s="304">
        <f t="shared" si="0"/>
        <v>255</v>
      </c>
      <c r="BD57" s="305">
        <f ca="1">Ruimtestaat!D57*$BC57</f>
        <v>15988.5</v>
      </c>
      <c r="BE57" s="306">
        <f ca="1">Ruimtestaat!E57*$BC57</f>
        <v>14432.999999999998</v>
      </c>
      <c r="BF57" s="306">
        <f ca="1">Ruimtestaat!F57*$BC57</f>
        <v>18538.5</v>
      </c>
      <c r="BG57" s="306">
        <f ca="1">Ruimtestaat!G57*$BC57</f>
        <v>994.5</v>
      </c>
      <c r="BH57" s="306">
        <f ca="1">Ruimtestaat!H57*$BC57</f>
        <v>994.5</v>
      </c>
      <c r="BI57" s="307">
        <f ca="1">Ruimtestaat!I57*$BC57</f>
        <v>10404.000000000002</v>
      </c>
      <c r="BJ57" s="308">
        <f ca="1">Ruimtestaat!J57*$BC57</f>
        <v>0</v>
      </c>
      <c r="BK57" s="552">
        <f ca="1">SUM(BD57:BJ62)</f>
        <v>61353</v>
      </c>
      <c r="BR57" s="303" t="str">
        <f>IF(Ruimtestaat!BC57="","",Ruimtestaat!BC57)</f>
        <v>BKS-RTH</v>
      </c>
      <c r="BS57" s="304">
        <f t="shared" si="1"/>
        <v>255</v>
      </c>
      <c r="BT57" s="305">
        <f ca="1">IF(BD57&gt;0,IF(ISNUMBER(Schoonmaaknormen!D57),Schoonmaaknormen!BD57/Schoonmaaknormen!D57,0),"")</f>
        <v>0</v>
      </c>
      <c r="BU57" s="306">
        <f ca="1">IF(BE57&gt;0,IF(ISNUMBER(Schoonmaaknormen!E57),Schoonmaaknormen!BE57/Schoonmaaknormen!E57,0),"")</f>
        <v>0</v>
      </c>
      <c r="BV57" s="306">
        <f ca="1">IF(BF57&gt;0,IF(ISNUMBER(Schoonmaaknormen!F57),Schoonmaaknormen!BF57/Schoonmaaknormen!F57,0),"")</f>
        <v>0</v>
      </c>
      <c r="BW57" s="306">
        <f ca="1">IF(BG57&gt;0,IF(ISNUMBER(Schoonmaaknormen!G57),Schoonmaaknormen!BG57/Schoonmaaknormen!G57,0),"")</f>
        <v>0</v>
      </c>
      <c r="BX57" s="306">
        <f ca="1">IF(BH57&gt;0,IF(ISNUMBER(Schoonmaaknormen!H57),Schoonmaaknormen!BH57/Schoonmaaknormen!H57,0),"")</f>
        <v>0</v>
      </c>
      <c r="BY57" s="306">
        <f ca="1">IF(BI57&gt;0,IF(ISNUMBER(Schoonmaaknormen!I57),Schoonmaaknormen!BI57/Schoonmaaknormen!I57,0),"")</f>
        <v>0</v>
      </c>
      <c r="BZ57" s="306" t="str">
        <f ca="1">IF(BJ57&gt;0,IF(ISNUMBER(Schoonmaaknormen!J57),Schoonmaaknormen!BJ57/Schoonmaaknormen!J57,0),"")</f>
        <v/>
      </c>
      <c r="CA57" s="547" t="str" cm="1">
        <f t="array" ref="CA57">IF(ISNUMBER(K57),IF(SUM(BT57:BZ62)/LARGE(_xlfn._xlws.FILTER(Ruimtestaat!BD:BD,Ruimtestaat!BC:BC=BR57),1)&lt;K57,K57*LARGE(_xlfn._xlws.FILTER(Ruimtestaat!BD:BD,Ruimtestaat!BC:BC=BR57),1)-SUM(BT57:BZ62),0),"")</f>
        <v/>
      </c>
      <c r="CB57" s="551">
        <f ca="1">SUM(BT57:CA62)</f>
        <v>0</v>
      </c>
    </row>
    <row r="58" spans="1:80" ht="0.2" customHeight="1" x14ac:dyDescent="0.2">
      <c r="A58" s="172">
        <f ca="1">Ruimtestaat!A58</f>
        <v>2</v>
      </c>
      <c r="B58" s="557"/>
      <c r="C58" s="11">
        <v>204</v>
      </c>
      <c r="D58" s="309"/>
      <c r="E58" s="310"/>
      <c r="F58" s="310"/>
      <c r="G58" s="310"/>
      <c r="H58" s="310"/>
      <c r="I58" s="312"/>
      <c r="J58" s="312"/>
      <c r="K58" s="560"/>
      <c r="L58" s="552"/>
      <c r="M58" s="172" t="b">
        <f>IF(_xlfn.XLOOKUP(BB58,Tabel2[Locatiecode],Tabel2[Type locatie],"",0)="vaccin",TRUE,FALSE)</f>
        <v>0</v>
      </c>
      <c r="BB58" s="272" t="str">
        <f>IF(Ruimtestaat!BC58="","",Ruimtestaat!BC58)</f>
        <v>BKS-RTH</v>
      </c>
      <c r="BC58" s="273">
        <f t="shared" si="0"/>
        <v>204</v>
      </c>
      <c r="BD58" s="274">
        <f ca="1">Ruimtestaat!D58*$BC58</f>
        <v>0</v>
      </c>
      <c r="BE58" s="275">
        <f ca="1">Ruimtestaat!E58*$BC58</f>
        <v>0</v>
      </c>
      <c r="BF58" s="275">
        <f ca="1">Ruimtestaat!F58*$BC58</f>
        <v>0</v>
      </c>
      <c r="BG58" s="275">
        <f ca="1">Ruimtestaat!G58*$BC58</f>
        <v>0</v>
      </c>
      <c r="BH58" s="275">
        <f ca="1">Ruimtestaat!H58*$BC58</f>
        <v>0</v>
      </c>
      <c r="BI58" s="276">
        <f ca="1">Ruimtestaat!I58*$BC58</f>
        <v>0</v>
      </c>
      <c r="BJ58" s="277">
        <f ca="1">Ruimtestaat!J58*$BC58</f>
        <v>0</v>
      </c>
      <c r="BK58" s="552"/>
      <c r="BR58" s="272" t="str">
        <f>IF(Ruimtestaat!BC58="","",Ruimtestaat!BC58)</f>
        <v>BKS-RTH</v>
      </c>
      <c r="BS58" s="273">
        <f t="shared" si="1"/>
        <v>204</v>
      </c>
      <c r="BT58" s="274" t="str">
        <f ca="1">IF(BD58&gt;0,IF(ISNUMBER(Schoonmaaknormen!D58),Schoonmaaknormen!BD58/Schoonmaaknormen!D58,0),"")</f>
        <v/>
      </c>
      <c r="BU58" s="275" t="str">
        <f ca="1">IF(BE58&gt;0,IF(ISNUMBER(Schoonmaaknormen!E58),Schoonmaaknormen!BE58/Schoonmaaknormen!E58,0),"")</f>
        <v/>
      </c>
      <c r="BV58" s="275" t="str">
        <f ca="1">IF(BF58&gt;0,IF(ISNUMBER(Schoonmaaknormen!F58),Schoonmaaknormen!BF58/Schoonmaaknormen!F58,0),"")</f>
        <v/>
      </c>
      <c r="BW58" s="275" t="str">
        <f ca="1">IF(BG58&gt;0,IF(ISNUMBER(Schoonmaaknormen!G58),Schoonmaaknormen!BG58/Schoonmaaknormen!G58,0),"")</f>
        <v/>
      </c>
      <c r="BX58" s="275" t="str">
        <f ca="1">IF(BH58&gt;0,IF(ISNUMBER(Schoonmaaknormen!H58),Schoonmaaknormen!BH58/Schoonmaaknormen!H58,0),"")</f>
        <v/>
      </c>
      <c r="BY58" s="275" t="str">
        <f ca="1">IF(BI58&gt;0,IF(ISNUMBER(Schoonmaaknormen!I58),Schoonmaaknormen!BI58/Schoonmaaknormen!I58,0),"")</f>
        <v/>
      </c>
      <c r="BZ58" s="275" t="str">
        <f ca="1">IF(BJ58&gt;0,IF(ISNUMBER(Schoonmaaknormen!J58),Schoonmaaknormen!BJ58/Schoonmaaknormen!J58,0),"")</f>
        <v/>
      </c>
      <c r="CA58" s="548"/>
      <c r="CB58" s="552"/>
    </row>
    <row r="59" spans="1:80" ht="0.2" customHeight="1" x14ac:dyDescent="0.2">
      <c r="A59" s="172">
        <f ca="1">Ruimtestaat!A59</f>
        <v>2</v>
      </c>
      <c r="B59" s="557"/>
      <c r="C59" s="11">
        <v>156</v>
      </c>
      <c r="D59" s="309"/>
      <c r="E59" s="310"/>
      <c r="F59" s="310"/>
      <c r="G59" s="310"/>
      <c r="H59" s="310"/>
      <c r="I59" s="312"/>
      <c r="J59" s="312"/>
      <c r="K59" s="560"/>
      <c r="L59" s="552"/>
      <c r="M59" s="172" t="b">
        <f>IF(_xlfn.XLOOKUP(BB59,Tabel2[Locatiecode],Tabel2[Type locatie],"",0)="vaccin",TRUE,FALSE)</f>
        <v>0</v>
      </c>
      <c r="BB59" s="272" t="str">
        <f>IF(Ruimtestaat!BC59="","",Ruimtestaat!BC59)</f>
        <v>BKS-RTH</v>
      </c>
      <c r="BC59" s="273">
        <f t="shared" si="0"/>
        <v>156</v>
      </c>
      <c r="BD59" s="274">
        <f ca="1">Ruimtestaat!D59*$BC59</f>
        <v>0</v>
      </c>
      <c r="BE59" s="275">
        <f ca="1">Ruimtestaat!E59*$BC59</f>
        <v>0</v>
      </c>
      <c r="BF59" s="275">
        <f ca="1">Ruimtestaat!F59*$BC59</f>
        <v>0</v>
      </c>
      <c r="BG59" s="275">
        <f ca="1">Ruimtestaat!G59*$BC59</f>
        <v>0</v>
      </c>
      <c r="BH59" s="275">
        <f ca="1">Ruimtestaat!H59*$BC59</f>
        <v>0</v>
      </c>
      <c r="BI59" s="276">
        <f ca="1">Ruimtestaat!I59*$BC59</f>
        <v>0</v>
      </c>
      <c r="BJ59" s="277">
        <f ca="1">Ruimtestaat!J59*$BC59</f>
        <v>0</v>
      </c>
      <c r="BK59" s="552"/>
      <c r="BR59" s="272" t="str">
        <f>IF(Ruimtestaat!BC59="","",Ruimtestaat!BC59)</f>
        <v>BKS-RTH</v>
      </c>
      <c r="BS59" s="273">
        <f t="shared" si="1"/>
        <v>156</v>
      </c>
      <c r="BT59" s="274" t="str">
        <f ca="1">IF(BD59&gt;0,IF(ISNUMBER(Schoonmaaknormen!D59),Schoonmaaknormen!BD59/Schoonmaaknormen!D59,0),"")</f>
        <v/>
      </c>
      <c r="BU59" s="275" t="str">
        <f ca="1">IF(BE59&gt;0,IF(ISNUMBER(Schoonmaaknormen!E59),Schoonmaaknormen!BE59/Schoonmaaknormen!E59,0),"")</f>
        <v/>
      </c>
      <c r="BV59" s="275" t="str">
        <f ca="1">IF(BF59&gt;0,IF(ISNUMBER(Schoonmaaknormen!F59),Schoonmaaknormen!BF59/Schoonmaaknormen!F59,0),"")</f>
        <v/>
      </c>
      <c r="BW59" s="275" t="str">
        <f ca="1">IF(BG59&gt;0,IF(ISNUMBER(Schoonmaaknormen!G59),Schoonmaaknormen!BG59/Schoonmaaknormen!G59,0),"")</f>
        <v/>
      </c>
      <c r="BX59" s="275" t="str">
        <f ca="1">IF(BH59&gt;0,IF(ISNUMBER(Schoonmaaknormen!H59),Schoonmaaknormen!BH59/Schoonmaaknormen!H59,0),"")</f>
        <v/>
      </c>
      <c r="BY59" s="275" t="str">
        <f ca="1">IF(BI59&gt;0,IF(ISNUMBER(Schoonmaaknormen!I59),Schoonmaaknormen!BI59/Schoonmaaknormen!I59,0),"")</f>
        <v/>
      </c>
      <c r="BZ59" s="275" t="str">
        <f ca="1">IF(BJ59&gt;0,IF(ISNUMBER(Schoonmaaknormen!J59),Schoonmaaknormen!BJ59/Schoonmaaknormen!J59,0),"")</f>
        <v/>
      </c>
      <c r="CA59" s="548"/>
      <c r="CB59" s="552"/>
    </row>
    <row r="60" spans="1:80" ht="0.2" customHeight="1" x14ac:dyDescent="0.2">
      <c r="A60" s="172">
        <f ca="1">Ruimtestaat!A60</f>
        <v>2</v>
      </c>
      <c r="B60" s="557"/>
      <c r="C60" s="11">
        <v>104</v>
      </c>
      <c r="D60" s="309"/>
      <c r="E60" s="310"/>
      <c r="F60" s="310"/>
      <c r="G60" s="310"/>
      <c r="H60" s="310"/>
      <c r="I60" s="312"/>
      <c r="J60" s="312"/>
      <c r="K60" s="561"/>
      <c r="L60" s="553"/>
      <c r="M60" s="172" t="b">
        <f>IF(_xlfn.XLOOKUP(BB60,Tabel2[Locatiecode],Tabel2[Type locatie],"",0)="vaccin",TRUE,FALSE)</f>
        <v>0</v>
      </c>
      <c r="BB60" s="278" t="str">
        <f>IF(Ruimtestaat!BC60="","",Ruimtestaat!BC60)</f>
        <v>BKS-RTH</v>
      </c>
      <c r="BC60" s="279">
        <f t="shared" si="0"/>
        <v>104</v>
      </c>
      <c r="BD60" s="280">
        <f ca="1">Ruimtestaat!D60*$BC60</f>
        <v>0</v>
      </c>
      <c r="BE60" s="281">
        <f ca="1">Ruimtestaat!E60*$BC60</f>
        <v>0</v>
      </c>
      <c r="BF60" s="281">
        <f ca="1">Ruimtestaat!F60*$BC60</f>
        <v>0</v>
      </c>
      <c r="BG60" s="281">
        <f ca="1">Ruimtestaat!G60*$BC60</f>
        <v>0</v>
      </c>
      <c r="BH60" s="281">
        <f ca="1">Ruimtestaat!H60*$BC60</f>
        <v>0</v>
      </c>
      <c r="BI60" s="282">
        <f ca="1">Ruimtestaat!I60*$BC60</f>
        <v>0</v>
      </c>
      <c r="BJ60" s="283">
        <f ca="1">Ruimtestaat!J60*$BC60</f>
        <v>0</v>
      </c>
      <c r="BK60" s="553"/>
      <c r="BR60" s="278" t="str">
        <f>IF(Ruimtestaat!BC60="","",Ruimtestaat!BC60)</f>
        <v>BKS-RTH</v>
      </c>
      <c r="BS60" s="313">
        <f t="shared" si="1"/>
        <v>104</v>
      </c>
      <c r="BT60" s="280" t="str">
        <f ca="1">IF(BD60&gt;0,IF(ISNUMBER(Schoonmaaknormen!D60),Schoonmaaknormen!BD60/Schoonmaaknormen!D60,0),"")</f>
        <v/>
      </c>
      <c r="BU60" s="314" t="str">
        <f ca="1">IF(BE60&gt;0,IF(ISNUMBER(Schoonmaaknormen!E60),Schoonmaaknormen!BE60/Schoonmaaknormen!E60,0),"")</f>
        <v/>
      </c>
      <c r="BV60" s="314" t="str">
        <f ca="1">IF(BF60&gt;0,IF(ISNUMBER(Schoonmaaknormen!F60),Schoonmaaknormen!BF60/Schoonmaaknormen!F60,0),"")</f>
        <v/>
      </c>
      <c r="BW60" s="314" t="str">
        <f ca="1">IF(BG60&gt;0,IF(ISNUMBER(Schoonmaaknormen!G60),Schoonmaaknormen!BG60/Schoonmaaknormen!G60,0),"")</f>
        <v/>
      </c>
      <c r="BX60" s="314" t="str">
        <f ca="1">IF(BH60&gt;0,IF(ISNUMBER(Schoonmaaknormen!H60),Schoonmaaknormen!BH60/Schoonmaaknormen!H60,0),"")</f>
        <v/>
      </c>
      <c r="BY60" s="314" t="str">
        <f ca="1">IF(BI60&gt;0,IF(ISNUMBER(Schoonmaaknormen!I60),Schoonmaaknormen!BI60/Schoonmaaknormen!I60,0),"")</f>
        <v/>
      </c>
      <c r="BZ60" s="314" t="str">
        <f ca="1">IF(BJ60&gt;0,IF(ISNUMBER(Schoonmaaknormen!J60),Schoonmaaknormen!BJ60/Schoonmaaknormen!J60,0),"")</f>
        <v/>
      </c>
      <c r="CA60" s="549"/>
      <c r="CB60" s="553"/>
    </row>
    <row r="61" spans="1:80" ht="0.2" customHeight="1" x14ac:dyDescent="0.2">
      <c r="A61" s="172">
        <f ca="1">Ruimtestaat!A61</f>
        <v>2</v>
      </c>
      <c r="B61" s="557"/>
      <c r="C61" s="11">
        <v>52</v>
      </c>
      <c r="D61" s="309"/>
      <c r="E61" s="310"/>
      <c r="F61" s="310"/>
      <c r="G61" s="310"/>
      <c r="H61" s="310"/>
      <c r="I61" s="312"/>
      <c r="J61" s="312"/>
      <c r="K61" s="561"/>
      <c r="L61" s="553"/>
      <c r="M61" s="172" t="b">
        <f>IF(_xlfn.XLOOKUP(BB61,Tabel2[Locatiecode],Tabel2[Type locatie],"",0)="vaccin",TRUE,FALSE)</f>
        <v>0</v>
      </c>
      <c r="BB61" s="284" t="str">
        <f>IF(Ruimtestaat!BC61="","",Ruimtestaat!BC61)</f>
        <v>BKS-RTH</v>
      </c>
      <c r="BC61" s="285">
        <f t="shared" si="0"/>
        <v>52</v>
      </c>
      <c r="BD61" s="286">
        <f ca="1">Ruimtestaat!D61*$BC61</f>
        <v>0</v>
      </c>
      <c r="BE61" s="287">
        <f ca="1">Ruimtestaat!E61*$BC61</f>
        <v>0</v>
      </c>
      <c r="BF61" s="287">
        <f ca="1">Ruimtestaat!F61*$BC61</f>
        <v>0</v>
      </c>
      <c r="BG61" s="287">
        <f ca="1">Ruimtestaat!G61*$BC61</f>
        <v>0</v>
      </c>
      <c r="BH61" s="287">
        <f ca="1">Ruimtestaat!H61*$BC61</f>
        <v>0</v>
      </c>
      <c r="BI61" s="288">
        <f ca="1">Ruimtestaat!I61*$BC61</f>
        <v>0</v>
      </c>
      <c r="BJ61" s="289">
        <f ca="1">Ruimtestaat!J61*$BC61</f>
        <v>0</v>
      </c>
      <c r="BK61" s="553"/>
      <c r="BR61" s="284" t="str">
        <f>IF(Ruimtestaat!BC61="","",Ruimtestaat!BC61)</f>
        <v>BKS-RTH</v>
      </c>
      <c r="BS61" s="285">
        <f t="shared" si="1"/>
        <v>52</v>
      </c>
      <c r="BT61" s="286" t="str">
        <f ca="1">IF(BD61&gt;0,IF(ISNUMBER(Schoonmaaknormen!D61),Schoonmaaknormen!BD61/Schoonmaaknormen!D61,0),"")</f>
        <v/>
      </c>
      <c r="BU61" s="287" t="str">
        <f ca="1">IF(BE61&gt;0,IF(ISNUMBER(Schoonmaaknormen!E61),Schoonmaaknormen!BE61/Schoonmaaknormen!E61,0),"")</f>
        <v/>
      </c>
      <c r="BV61" s="287" t="str">
        <f ca="1">IF(BF61&gt;0,IF(ISNUMBER(Schoonmaaknormen!F61),Schoonmaaknormen!BF61/Schoonmaaknormen!F61,0),"")</f>
        <v/>
      </c>
      <c r="BW61" s="287" t="str">
        <f ca="1">IF(BG61&gt;0,IF(ISNUMBER(Schoonmaaknormen!G61),Schoonmaaknormen!BG61/Schoonmaaknormen!G61,0),"")</f>
        <v/>
      </c>
      <c r="BX61" s="287" t="str">
        <f ca="1">IF(BH61&gt;0,IF(ISNUMBER(Schoonmaaknormen!H61),Schoonmaaknormen!BH61/Schoonmaaknormen!H61,0),"")</f>
        <v/>
      </c>
      <c r="BY61" s="287" t="str">
        <f ca="1">IF(BI61&gt;0,IF(ISNUMBER(Schoonmaaknormen!I61),Schoonmaaknormen!BI61/Schoonmaaknormen!I61,0),"")</f>
        <v/>
      </c>
      <c r="BZ61" s="287" t="str">
        <f ca="1">IF(BJ61&gt;0,IF(ISNUMBER(Schoonmaaknormen!J61),Schoonmaaknormen!BJ61/Schoonmaaknormen!J61,0),"")</f>
        <v/>
      </c>
      <c r="CA61" s="549"/>
      <c r="CB61" s="553"/>
    </row>
    <row r="62" spans="1:80" ht="0.2" customHeight="1" x14ac:dyDescent="0.2">
      <c r="A62" s="172">
        <f ca="1">Ruimtestaat!A62</f>
        <v>2</v>
      </c>
      <c r="B62" s="558"/>
      <c r="C62" s="290">
        <v>4</v>
      </c>
      <c r="D62" s="186"/>
      <c r="E62" s="187"/>
      <c r="F62" s="187"/>
      <c r="G62" s="187"/>
      <c r="H62" s="187"/>
      <c r="I62" s="189"/>
      <c r="J62" s="189"/>
      <c r="K62" s="562"/>
      <c r="L62" s="554"/>
      <c r="M62" s="172" t="b">
        <f>IF(_xlfn.XLOOKUP(BB62,Tabel2[Locatiecode],Tabel2[Type locatie],"",0)="vaccin",TRUE,FALSE)</f>
        <v>0</v>
      </c>
      <c r="BB62" s="291" t="str">
        <f>IF(Ruimtestaat!BC62="","",Ruimtestaat!BC62)</f>
        <v>BKS-RTH</v>
      </c>
      <c r="BC62" s="292">
        <f t="shared" si="0"/>
        <v>4</v>
      </c>
      <c r="BD62" s="293">
        <f ca="1">Ruimtestaat!D62*$BC62</f>
        <v>0</v>
      </c>
      <c r="BE62" s="294">
        <f ca="1">Ruimtestaat!E62*$BC62</f>
        <v>0</v>
      </c>
      <c r="BF62" s="294">
        <f ca="1">Ruimtestaat!F62*$BC62</f>
        <v>0</v>
      </c>
      <c r="BG62" s="294">
        <f ca="1">Ruimtestaat!G62*$BC62</f>
        <v>0</v>
      </c>
      <c r="BH62" s="294">
        <f ca="1">Ruimtestaat!H62*$BC62</f>
        <v>0</v>
      </c>
      <c r="BI62" s="295">
        <f ca="1">Ruimtestaat!I62*$BC62</f>
        <v>0</v>
      </c>
      <c r="BJ62" s="296">
        <f ca="1">Ruimtestaat!J62*$BC62</f>
        <v>0</v>
      </c>
      <c r="BK62" s="554"/>
      <c r="BR62" s="291" t="str">
        <f>IF(Ruimtestaat!BC62="","",Ruimtestaat!BC62)</f>
        <v>BKS-RTH</v>
      </c>
      <c r="BS62" s="292">
        <f t="shared" si="1"/>
        <v>4</v>
      </c>
      <c r="BT62" s="293" t="str">
        <f ca="1">IF(BD62&gt;0,IF(ISNUMBER(Schoonmaaknormen!D62),Schoonmaaknormen!BD62/Schoonmaaknormen!D62,0),"")</f>
        <v/>
      </c>
      <c r="BU62" s="294" t="str">
        <f ca="1">IF(BE62&gt;0,IF(ISNUMBER(Schoonmaaknormen!E62),Schoonmaaknormen!BE62/Schoonmaaknormen!E62,0),"")</f>
        <v/>
      </c>
      <c r="BV62" s="294" t="str">
        <f ca="1">IF(BF62&gt;0,IF(ISNUMBER(Schoonmaaknormen!F62),Schoonmaaknormen!BF62/Schoonmaaknormen!F62,0),"")</f>
        <v/>
      </c>
      <c r="BW62" s="294" t="str">
        <f ca="1">IF(BG62&gt;0,IF(ISNUMBER(Schoonmaaknormen!G62),Schoonmaaknormen!BG62/Schoonmaaknormen!G62,0),"")</f>
        <v/>
      </c>
      <c r="BX62" s="294" t="str">
        <f ca="1">IF(BH62&gt;0,IF(ISNUMBER(Schoonmaaknormen!H62),Schoonmaaknormen!BH62/Schoonmaaknormen!H62,0),"")</f>
        <v/>
      </c>
      <c r="BY62" s="294" t="str">
        <f ca="1">IF(BI62&gt;0,IF(ISNUMBER(Schoonmaaknormen!I62),Schoonmaaknormen!BI62/Schoonmaaknormen!I62,0),"")</f>
        <v/>
      </c>
      <c r="BZ62" s="294" t="str">
        <f ca="1">IF(BJ62&gt;0,IF(ISNUMBER(Schoonmaaknormen!J62),Schoonmaaknormen!BJ62/Schoonmaaknormen!J62,0),"")</f>
        <v/>
      </c>
      <c r="CA62" s="555"/>
      <c r="CB62" s="554"/>
    </row>
    <row r="63" spans="1:80" ht="15" customHeight="1" x14ac:dyDescent="0.2">
      <c r="A63" s="172">
        <f ca="1">Ruimtestaat!A63</f>
        <v>1</v>
      </c>
      <c r="B63" s="556" t="str">
        <f>BB63</f>
        <v>CST-GDW</v>
      </c>
      <c r="C63" s="298">
        <v>255</v>
      </c>
      <c r="D63" s="299"/>
      <c r="E63" s="300"/>
      <c r="F63" s="300"/>
      <c r="G63" s="300"/>
      <c r="H63" s="300"/>
      <c r="I63" s="302"/>
      <c r="J63" s="302"/>
      <c r="K63" s="559"/>
      <c r="L63" s="551" t="str" cm="1">
        <f t="array" aca="1" ref="L63" ca="1">_xlfn.IFS(A63=2,"",COUNTBLANK(D63:J68)=COUNTIF(Ruimtestaat!D63:J68,"&lt;=0"),BK63/CB63,TRUE,"")</f>
        <v/>
      </c>
      <c r="M63" s="172" t="b">
        <f>IF(_xlfn.XLOOKUP(BB63,Tabel2[Locatiecode],Tabel2[Type locatie],"",0)="vaccin",TRUE,FALSE)</f>
        <v>0</v>
      </c>
      <c r="BB63" s="303" t="str">
        <f>IF(Ruimtestaat!BC63="","",Ruimtestaat!BC63)</f>
        <v>CST-GDW</v>
      </c>
      <c r="BC63" s="304">
        <f t="shared" si="0"/>
        <v>255</v>
      </c>
      <c r="BD63" s="305">
        <f ca="1">Ruimtestaat!D63*$BC63</f>
        <v>19915.5</v>
      </c>
      <c r="BE63" s="306">
        <f ca="1">Ruimtestaat!E63*$BC63</f>
        <v>5584.5</v>
      </c>
      <c r="BF63" s="306">
        <f ca="1">Ruimtestaat!F63*$BC63</f>
        <v>32130</v>
      </c>
      <c r="BG63" s="306">
        <f ca="1">Ruimtestaat!G63*$BC63</f>
        <v>0</v>
      </c>
      <c r="BH63" s="306">
        <f ca="1">Ruimtestaat!H63*$BC63</f>
        <v>1810.5</v>
      </c>
      <c r="BI63" s="307">
        <f ca="1">Ruimtestaat!I63*$BC63</f>
        <v>1020</v>
      </c>
      <c r="BJ63" s="308">
        <f ca="1">Ruimtestaat!J63*$BC63</f>
        <v>0</v>
      </c>
      <c r="BK63" s="552">
        <f ca="1">SUM(BD63:BJ68)</f>
        <v>60460.5</v>
      </c>
      <c r="BR63" s="303" t="str">
        <f>IF(Ruimtestaat!BC63="","",Ruimtestaat!BC63)</f>
        <v>CST-GDW</v>
      </c>
      <c r="BS63" s="304">
        <f t="shared" si="1"/>
        <v>255</v>
      </c>
      <c r="BT63" s="305">
        <f ca="1">IF(BD63&gt;0,IF(ISNUMBER(Schoonmaaknormen!D63),Schoonmaaknormen!BD63/Schoonmaaknormen!D63,0),"")</f>
        <v>0</v>
      </c>
      <c r="BU63" s="306">
        <f ca="1">IF(BE63&gt;0,IF(ISNUMBER(Schoonmaaknormen!E63),Schoonmaaknormen!BE63/Schoonmaaknormen!E63,0),"")</f>
        <v>0</v>
      </c>
      <c r="BV63" s="306">
        <f ca="1">IF(BF63&gt;0,IF(ISNUMBER(Schoonmaaknormen!F63),Schoonmaaknormen!BF63/Schoonmaaknormen!F63,0),"")</f>
        <v>0</v>
      </c>
      <c r="BW63" s="306" t="str">
        <f ca="1">IF(BG63&gt;0,IF(ISNUMBER(Schoonmaaknormen!G63),Schoonmaaknormen!BG63/Schoonmaaknormen!G63,0),"")</f>
        <v/>
      </c>
      <c r="BX63" s="306">
        <f ca="1">IF(BH63&gt;0,IF(ISNUMBER(Schoonmaaknormen!H63),Schoonmaaknormen!BH63/Schoonmaaknormen!H63,0),"")</f>
        <v>0</v>
      </c>
      <c r="BY63" s="306">
        <f ca="1">IF(BI63&gt;0,IF(ISNUMBER(Schoonmaaknormen!I63),Schoonmaaknormen!BI63/Schoonmaaknormen!I63,0),"")</f>
        <v>0</v>
      </c>
      <c r="BZ63" s="306" t="str">
        <f ca="1">IF(BJ63&gt;0,IF(ISNUMBER(Schoonmaaknormen!J63),Schoonmaaknormen!BJ63/Schoonmaaknormen!J63,0),"")</f>
        <v/>
      </c>
      <c r="CA63" s="547" t="str" cm="1">
        <f t="array" ref="CA63">IF(ISNUMBER(K63),IF(SUM(BT63:BZ68)/LARGE(_xlfn._xlws.FILTER(Ruimtestaat!BD:BD,Ruimtestaat!BC:BC=BR63),1)&lt;K63,K63*LARGE(_xlfn._xlws.FILTER(Ruimtestaat!BD:BD,Ruimtestaat!BC:BC=BR63),1)-SUM(BT63:BZ68),0),"")</f>
        <v/>
      </c>
      <c r="CB63" s="551">
        <f ca="1">SUM(BT63:CA68)</f>
        <v>0</v>
      </c>
    </row>
    <row r="64" spans="1:80" ht="0.2" customHeight="1" x14ac:dyDescent="0.2">
      <c r="A64" s="172">
        <f ca="1">Ruimtestaat!A64</f>
        <v>0</v>
      </c>
      <c r="B64" s="557"/>
      <c r="C64" s="11">
        <v>204</v>
      </c>
      <c r="D64" s="309"/>
      <c r="E64" s="310"/>
      <c r="F64" s="310"/>
      <c r="G64" s="310"/>
      <c r="H64" s="310"/>
      <c r="I64" s="312"/>
      <c r="J64" s="312"/>
      <c r="K64" s="560"/>
      <c r="L64" s="552"/>
      <c r="M64" s="172" t="b">
        <f>IF(_xlfn.XLOOKUP(BB64,Tabel2[Locatiecode],Tabel2[Type locatie],"",0)="vaccin",TRUE,FALSE)</f>
        <v>0</v>
      </c>
      <c r="BB64" s="272" t="str">
        <f>IF(Ruimtestaat!BC64="","",Ruimtestaat!BC64)</f>
        <v>CST-GDW</v>
      </c>
      <c r="BC64" s="273">
        <f t="shared" si="0"/>
        <v>204</v>
      </c>
      <c r="BD64" s="274">
        <f ca="1">Ruimtestaat!D64*$BC64</f>
        <v>0</v>
      </c>
      <c r="BE64" s="275">
        <f ca="1">Ruimtestaat!E64*$BC64</f>
        <v>0</v>
      </c>
      <c r="BF64" s="275">
        <f ca="1">Ruimtestaat!F64*$BC64</f>
        <v>0</v>
      </c>
      <c r="BG64" s="275">
        <f ca="1">Ruimtestaat!G64*$BC64</f>
        <v>0</v>
      </c>
      <c r="BH64" s="275">
        <f ca="1">Ruimtestaat!H64*$BC64</f>
        <v>0</v>
      </c>
      <c r="BI64" s="276">
        <f ca="1">Ruimtestaat!I64*$BC64</f>
        <v>0</v>
      </c>
      <c r="BJ64" s="277">
        <f ca="1">Ruimtestaat!J64*$BC64</f>
        <v>0</v>
      </c>
      <c r="BK64" s="552"/>
      <c r="BR64" s="272" t="str">
        <f>IF(Ruimtestaat!BC64="","",Ruimtestaat!BC64)</f>
        <v>CST-GDW</v>
      </c>
      <c r="BS64" s="273">
        <f t="shared" si="1"/>
        <v>204</v>
      </c>
      <c r="BT64" s="274" t="str">
        <f ca="1">IF(BD64&gt;0,IF(ISNUMBER(Schoonmaaknormen!D64),Schoonmaaknormen!BD64/Schoonmaaknormen!D64,0),"")</f>
        <v/>
      </c>
      <c r="BU64" s="275" t="str">
        <f ca="1">IF(BE64&gt;0,IF(ISNUMBER(Schoonmaaknormen!E64),Schoonmaaknormen!BE64/Schoonmaaknormen!E64,0),"")</f>
        <v/>
      </c>
      <c r="BV64" s="275" t="str">
        <f ca="1">IF(BF64&gt;0,IF(ISNUMBER(Schoonmaaknormen!F64),Schoonmaaknormen!BF64/Schoonmaaknormen!F64,0),"")</f>
        <v/>
      </c>
      <c r="BW64" s="275" t="str">
        <f ca="1">IF(BG64&gt;0,IF(ISNUMBER(Schoonmaaknormen!G64),Schoonmaaknormen!BG64/Schoonmaaknormen!G64,0),"")</f>
        <v/>
      </c>
      <c r="BX64" s="275" t="str">
        <f ca="1">IF(BH64&gt;0,IF(ISNUMBER(Schoonmaaknormen!H64),Schoonmaaknormen!BH64/Schoonmaaknormen!H64,0),"")</f>
        <v/>
      </c>
      <c r="BY64" s="275" t="str">
        <f ca="1">IF(BI64&gt;0,IF(ISNUMBER(Schoonmaaknormen!I64),Schoonmaaknormen!BI64/Schoonmaaknormen!I64,0),"")</f>
        <v/>
      </c>
      <c r="BZ64" s="275" t="str">
        <f ca="1">IF(BJ64&gt;0,IF(ISNUMBER(Schoonmaaknormen!J64),Schoonmaaknormen!BJ64/Schoonmaaknormen!J64,0),"")</f>
        <v/>
      </c>
      <c r="CA64" s="548"/>
      <c r="CB64" s="552"/>
    </row>
    <row r="65" spans="1:80" ht="0.2" customHeight="1" x14ac:dyDescent="0.2">
      <c r="A65" s="172">
        <f ca="1">Ruimtestaat!A65</f>
        <v>0</v>
      </c>
      <c r="B65" s="557"/>
      <c r="C65" s="11">
        <v>156</v>
      </c>
      <c r="D65" s="309"/>
      <c r="E65" s="310"/>
      <c r="F65" s="310"/>
      <c r="G65" s="310"/>
      <c r="H65" s="310"/>
      <c r="I65" s="312"/>
      <c r="J65" s="312"/>
      <c r="K65" s="560"/>
      <c r="L65" s="552"/>
      <c r="M65" s="172" t="b">
        <f>IF(_xlfn.XLOOKUP(BB65,Tabel2[Locatiecode],Tabel2[Type locatie],"",0)="vaccin",TRUE,FALSE)</f>
        <v>0</v>
      </c>
      <c r="BB65" s="272" t="str">
        <f>IF(Ruimtestaat!BC65="","",Ruimtestaat!BC65)</f>
        <v>CST-GDW</v>
      </c>
      <c r="BC65" s="273">
        <f t="shared" si="0"/>
        <v>156</v>
      </c>
      <c r="BD65" s="274">
        <f ca="1">Ruimtestaat!D65*$BC65</f>
        <v>0</v>
      </c>
      <c r="BE65" s="275">
        <f ca="1">Ruimtestaat!E65*$BC65</f>
        <v>0</v>
      </c>
      <c r="BF65" s="275">
        <f ca="1">Ruimtestaat!F65*$BC65</f>
        <v>0</v>
      </c>
      <c r="BG65" s="275">
        <f ca="1">Ruimtestaat!G65*$BC65</f>
        <v>0</v>
      </c>
      <c r="BH65" s="275">
        <f ca="1">Ruimtestaat!H65*$BC65</f>
        <v>0</v>
      </c>
      <c r="BI65" s="276">
        <f ca="1">Ruimtestaat!I65*$BC65</f>
        <v>0</v>
      </c>
      <c r="BJ65" s="277">
        <f ca="1">Ruimtestaat!J65*$BC65</f>
        <v>0</v>
      </c>
      <c r="BK65" s="552"/>
      <c r="BR65" s="272" t="str">
        <f>IF(Ruimtestaat!BC65="","",Ruimtestaat!BC65)</f>
        <v>CST-GDW</v>
      </c>
      <c r="BS65" s="273">
        <f t="shared" si="1"/>
        <v>156</v>
      </c>
      <c r="BT65" s="274" t="str">
        <f ca="1">IF(BD65&gt;0,IF(ISNUMBER(Schoonmaaknormen!D65),Schoonmaaknormen!BD65/Schoonmaaknormen!D65,0),"")</f>
        <v/>
      </c>
      <c r="BU65" s="275" t="str">
        <f ca="1">IF(BE65&gt;0,IF(ISNUMBER(Schoonmaaknormen!E65),Schoonmaaknormen!BE65/Schoonmaaknormen!E65,0),"")</f>
        <v/>
      </c>
      <c r="BV65" s="275" t="str">
        <f ca="1">IF(BF65&gt;0,IF(ISNUMBER(Schoonmaaknormen!F65),Schoonmaaknormen!BF65/Schoonmaaknormen!F65,0),"")</f>
        <v/>
      </c>
      <c r="BW65" s="275" t="str">
        <f ca="1">IF(BG65&gt;0,IF(ISNUMBER(Schoonmaaknormen!G65),Schoonmaaknormen!BG65/Schoonmaaknormen!G65,0),"")</f>
        <v/>
      </c>
      <c r="BX65" s="275" t="str">
        <f ca="1">IF(BH65&gt;0,IF(ISNUMBER(Schoonmaaknormen!H65),Schoonmaaknormen!BH65/Schoonmaaknormen!H65,0),"")</f>
        <v/>
      </c>
      <c r="BY65" s="275" t="str">
        <f ca="1">IF(BI65&gt;0,IF(ISNUMBER(Schoonmaaknormen!I65),Schoonmaaknormen!BI65/Schoonmaaknormen!I65,0),"")</f>
        <v/>
      </c>
      <c r="BZ65" s="275" t="str">
        <f ca="1">IF(BJ65&gt;0,IF(ISNUMBER(Schoonmaaknormen!J65),Schoonmaaknormen!BJ65/Schoonmaaknormen!J65,0),"")</f>
        <v/>
      </c>
      <c r="CA65" s="548"/>
      <c r="CB65" s="552"/>
    </row>
    <row r="66" spans="1:80" ht="0.2" customHeight="1" x14ac:dyDescent="0.2">
      <c r="A66" s="172">
        <f ca="1">Ruimtestaat!A66</f>
        <v>0</v>
      </c>
      <c r="B66" s="557"/>
      <c r="C66" s="11">
        <v>104</v>
      </c>
      <c r="D66" s="309"/>
      <c r="E66" s="310"/>
      <c r="F66" s="310"/>
      <c r="G66" s="310"/>
      <c r="H66" s="310"/>
      <c r="I66" s="312"/>
      <c r="J66" s="312"/>
      <c r="K66" s="561"/>
      <c r="L66" s="553"/>
      <c r="M66" s="172" t="b">
        <f>IF(_xlfn.XLOOKUP(BB66,Tabel2[Locatiecode],Tabel2[Type locatie],"",0)="vaccin",TRUE,FALSE)</f>
        <v>0</v>
      </c>
      <c r="BB66" s="278" t="str">
        <f>IF(Ruimtestaat!BC66="","",Ruimtestaat!BC66)</f>
        <v>CST-GDW</v>
      </c>
      <c r="BC66" s="279">
        <f t="shared" si="0"/>
        <v>104</v>
      </c>
      <c r="BD66" s="280">
        <f ca="1">Ruimtestaat!D66*$BC66</f>
        <v>0</v>
      </c>
      <c r="BE66" s="281">
        <f ca="1">Ruimtestaat!E66*$BC66</f>
        <v>0</v>
      </c>
      <c r="BF66" s="281">
        <f ca="1">Ruimtestaat!F66*$BC66</f>
        <v>0</v>
      </c>
      <c r="BG66" s="281">
        <f ca="1">Ruimtestaat!G66*$BC66</f>
        <v>0</v>
      </c>
      <c r="BH66" s="281">
        <f ca="1">Ruimtestaat!H66*$BC66</f>
        <v>0</v>
      </c>
      <c r="BI66" s="282">
        <f ca="1">Ruimtestaat!I66*$BC66</f>
        <v>0</v>
      </c>
      <c r="BJ66" s="283">
        <f ca="1">Ruimtestaat!J66*$BC66</f>
        <v>0</v>
      </c>
      <c r="BK66" s="553"/>
      <c r="BR66" s="278" t="str">
        <f>IF(Ruimtestaat!BC66="","",Ruimtestaat!BC66)</f>
        <v>CST-GDW</v>
      </c>
      <c r="BS66" s="313">
        <f t="shared" si="1"/>
        <v>104</v>
      </c>
      <c r="BT66" s="280" t="str">
        <f ca="1">IF(BD66&gt;0,IF(ISNUMBER(Schoonmaaknormen!D66),Schoonmaaknormen!BD66/Schoonmaaknormen!D66,0),"")</f>
        <v/>
      </c>
      <c r="BU66" s="314" t="str">
        <f ca="1">IF(BE66&gt;0,IF(ISNUMBER(Schoonmaaknormen!E66),Schoonmaaknormen!BE66/Schoonmaaknormen!E66,0),"")</f>
        <v/>
      </c>
      <c r="BV66" s="314" t="str">
        <f ca="1">IF(BF66&gt;0,IF(ISNUMBER(Schoonmaaknormen!F66),Schoonmaaknormen!BF66/Schoonmaaknormen!F66,0),"")</f>
        <v/>
      </c>
      <c r="BW66" s="314" t="str">
        <f ca="1">IF(BG66&gt;0,IF(ISNUMBER(Schoonmaaknormen!G66),Schoonmaaknormen!BG66/Schoonmaaknormen!G66,0),"")</f>
        <v/>
      </c>
      <c r="BX66" s="314" t="str">
        <f ca="1">IF(BH66&gt;0,IF(ISNUMBER(Schoonmaaknormen!H66),Schoonmaaknormen!BH66/Schoonmaaknormen!H66,0),"")</f>
        <v/>
      </c>
      <c r="BY66" s="314" t="str">
        <f ca="1">IF(BI66&gt;0,IF(ISNUMBER(Schoonmaaknormen!I66),Schoonmaaknormen!BI66/Schoonmaaknormen!I66,0),"")</f>
        <v/>
      </c>
      <c r="BZ66" s="314" t="str">
        <f ca="1">IF(BJ66&gt;0,IF(ISNUMBER(Schoonmaaknormen!J66),Schoonmaaknormen!BJ66/Schoonmaaknormen!J66,0),"")</f>
        <v/>
      </c>
      <c r="CA66" s="549"/>
      <c r="CB66" s="553"/>
    </row>
    <row r="67" spans="1:80" ht="0.2" customHeight="1" x14ac:dyDescent="0.2">
      <c r="A67" s="172">
        <f ca="1">Ruimtestaat!A67</f>
        <v>0</v>
      </c>
      <c r="B67" s="557"/>
      <c r="C67" s="11">
        <v>52</v>
      </c>
      <c r="D67" s="309"/>
      <c r="E67" s="310"/>
      <c r="F67" s="310"/>
      <c r="G67" s="310"/>
      <c r="H67" s="310"/>
      <c r="I67" s="312"/>
      <c r="J67" s="312"/>
      <c r="K67" s="561"/>
      <c r="L67" s="553"/>
      <c r="M67" s="172" t="b">
        <f>IF(_xlfn.XLOOKUP(BB67,Tabel2[Locatiecode],Tabel2[Type locatie],"",0)="vaccin",TRUE,FALSE)</f>
        <v>0</v>
      </c>
      <c r="BB67" s="284" t="str">
        <f>IF(Ruimtestaat!BC67="","",Ruimtestaat!BC67)</f>
        <v>CST-GDW</v>
      </c>
      <c r="BC67" s="285">
        <f t="shared" si="0"/>
        <v>52</v>
      </c>
      <c r="BD67" s="286">
        <f ca="1">Ruimtestaat!D67*$BC67</f>
        <v>0</v>
      </c>
      <c r="BE67" s="287">
        <f ca="1">Ruimtestaat!E67*$BC67</f>
        <v>0</v>
      </c>
      <c r="BF67" s="287">
        <f ca="1">Ruimtestaat!F67*$BC67</f>
        <v>0</v>
      </c>
      <c r="BG67" s="287">
        <f ca="1">Ruimtestaat!G67*$BC67</f>
        <v>0</v>
      </c>
      <c r="BH67" s="287">
        <f ca="1">Ruimtestaat!H67*$BC67</f>
        <v>0</v>
      </c>
      <c r="BI67" s="288">
        <f ca="1">Ruimtestaat!I67*$BC67</f>
        <v>0</v>
      </c>
      <c r="BJ67" s="289">
        <f ca="1">Ruimtestaat!J67*$BC67</f>
        <v>0</v>
      </c>
      <c r="BK67" s="553"/>
      <c r="BR67" s="284" t="str">
        <f>IF(Ruimtestaat!BC67="","",Ruimtestaat!BC67)</f>
        <v>CST-GDW</v>
      </c>
      <c r="BS67" s="285">
        <f t="shared" si="1"/>
        <v>52</v>
      </c>
      <c r="BT67" s="286" t="str">
        <f ca="1">IF(BD67&gt;0,IF(ISNUMBER(Schoonmaaknormen!D67),Schoonmaaknormen!BD67/Schoonmaaknormen!D67,0),"")</f>
        <v/>
      </c>
      <c r="BU67" s="287" t="str">
        <f ca="1">IF(BE67&gt;0,IF(ISNUMBER(Schoonmaaknormen!E67),Schoonmaaknormen!BE67/Schoonmaaknormen!E67,0),"")</f>
        <v/>
      </c>
      <c r="BV67" s="287" t="str">
        <f ca="1">IF(BF67&gt;0,IF(ISNUMBER(Schoonmaaknormen!F67),Schoonmaaknormen!BF67/Schoonmaaknormen!F67,0),"")</f>
        <v/>
      </c>
      <c r="BW67" s="287" t="str">
        <f ca="1">IF(BG67&gt;0,IF(ISNUMBER(Schoonmaaknormen!G67),Schoonmaaknormen!BG67/Schoonmaaknormen!G67,0),"")</f>
        <v/>
      </c>
      <c r="BX67" s="287" t="str">
        <f ca="1">IF(BH67&gt;0,IF(ISNUMBER(Schoonmaaknormen!H67),Schoonmaaknormen!BH67/Schoonmaaknormen!H67,0),"")</f>
        <v/>
      </c>
      <c r="BY67" s="287" t="str">
        <f ca="1">IF(BI67&gt;0,IF(ISNUMBER(Schoonmaaknormen!I67),Schoonmaaknormen!BI67/Schoonmaaknormen!I67,0),"")</f>
        <v/>
      </c>
      <c r="BZ67" s="287" t="str">
        <f ca="1">IF(BJ67&gt;0,IF(ISNUMBER(Schoonmaaknormen!J67),Schoonmaaknormen!BJ67/Schoonmaaknormen!J67,0),"")</f>
        <v/>
      </c>
      <c r="CA67" s="549"/>
      <c r="CB67" s="553"/>
    </row>
    <row r="68" spans="1:80" ht="0.2" customHeight="1" x14ac:dyDescent="0.2">
      <c r="A68" s="172">
        <f ca="1">Ruimtestaat!A68</f>
        <v>2</v>
      </c>
      <c r="B68" s="558"/>
      <c r="C68" s="290">
        <v>4</v>
      </c>
      <c r="D68" s="186"/>
      <c r="E68" s="187"/>
      <c r="F68" s="187"/>
      <c r="G68" s="187"/>
      <c r="H68" s="187"/>
      <c r="I68" s="189"/>
      <c r="J68" s="189"/>
      <c r="K68" s="562"/>
      <c r="L68" s="554"/>
      <c r="M68" s="172" t="b">
        <f>IF(_xlfn.XLOOKUP(BB68,Tabel2[Locatiecode],Tabel2[Type locatie],"",0)="vaccin",TRUE,FALSE)</f>
        <v>0</v>
      </c>
      <c r="BB68" s="291" t="str">
        <f>IF(Ruimtestaat!BC68="","",Ruimtestaat!BC68)</f>
        <v>CST-GDW</v>
      </c>
      <c r="BC68" s="292">
        <f t="shared" ref="BC68:BC131" si="2">C68</f>
        <v>4</v>
      </c>
      <c r="BD68" s="293">
        <f ca="1">Ruimtestaat!D68*$BC68</f>
        <v>0</v>
      </c>
      <c r="BE68" s="294">
        <f ca="1">Ruimtestaat!E68*$BC68</f>
        <v>0</v>
      </c>
      <c r="BF68" s="294">
        <f ca="1">Ruimtestaat!F68*$BC68</f>
        <v>0</v>
      </c>
      <c r="BG68" s="294">
        <f ca="1">Ruimtestaat!G68*$BC68</f>
        <v>0</v>
      </c>
      <c r="BH68" s="294">
        <f ca="1">Ruimtestaat!H68*$BC68</f>
        <v>0</v>
      </c>
      <c r="BI68" s="295">
        <f ca="1">Ruimtestaat!I68*$BC68</f>
        <v>0</v>
      </c>
      <c r="BJ68" s="296">
        <f ca="1">Ruimtestaat!J68*$BC68</f>
        <v>0</v>
      </c>
      <c r="BK68" s="554"/>
      <c r="BR68" s="291" t="str">
        <f>IF(Ruimtestaat!BC68="","",Ruimtestaat!BC68)</f>
        <v>CST-GDW</v>
      </c>
      <c r="BS68" s="292">
        <f t="shared" ref="BS68:BS131" si="3">C68</f>
        <v>4</v>
      </c>
      <c r="BT68" s="293" t="str">
        <f ca="1">IF(BD68&gt;0,IF(ISNUMBER(Schoonmaaknormen!D68),Schoonmaaknormen!BD68/Schoonmaaknormen!D68,0),"")</f>
        <v/>
      </c>
      <c r="BU68" s="294" t="str">
        <f ca="1">IF(BE68&gt;0,IF(ISNUMBER(Schoonmaaknormen!E68),Schoonmaaknormen!BE68/Schoonmaaknormen!E68,0),"")</f>
        <v/>
      </c>
      <c r="BV68" s="294" t="str">
        <f ca="1">IF(BF68&gt;0,IF(ISNUMBER(Schoonmaaknormen!F68),Schoonmaaknormen!BF68/Schoonmaaknormen!F68,0),"")</f>
        <v/>
      </c>
      <c r="BW68" s="294" t="str">
        <f ca="1">IF(BG68&gt;0,IF(ISNUMBER(Schoonmaaknormen!G68),Schoonmaaknormen!BG68/Schoonmaaknormen!G68,0),"")</f>
        <v/>
      </c>
      <c r="BX68" s="294" t="str">
        <f ca="1">IF(BH68&gt;0,IF(ISNUMBER(Schoonmaaknormen!H68),Schoonmaaknormen!BH68/Schoonmaaknormen!H68,0),"")</f>
        <v/>
      </c>
      <c r="BY68" s="294" t="str">
        <f ca="1">IF(BI68&gt;0,IF(ISNUMBER(Schoonmaaknormen!I68),Schoonmaaknormen!BI68/Schoonmaaknormen!I68,0),"")</f>
        <v/>
      </c>
      <c r="BZ68" s="294" t="str">
        <f ca="1">IF(BJ68&gt;0,IF(ISNUMBER(Schoonmaaknormen!J68),Schoonmaaknormen!BJ68/Schoonmaaknormen!J68,0),"")</f>
        <v/>
      </c>
      <c r="CA68" s="555"/>
      <c r="CB68" s="554"/>
    </row>
    <row r="69" spans="1:80" ht="15" customHeight="1" x14ac:dyDescent="0.2">
      <c r="A69" s="172">
        <f ca="1">Ruimtestaat!A69</f>
        <v>1</v>
      </c>
      <c r="B69" s="556" t="str">
        <f>BB69</f>
        <v>DHE-BPL</v>
      </c>
      <c r="C69" s="298">
        <v>255</v>
      </c>
      <c r="D69" s="299"/>
      <c r="E69" s="300"/>
      <c r="F69" s="300"/>
      <c r="G69" s="300"/>
      <c r="H69" s="300"/>
      <c r="I69" s="302"/>
      <c r="J69" s="302"/>
      <c r="K69" s="559"/>
      <c r="L69" s="551" t="str" cm="1">
        <f t="array" aca="1" ref="L69" ca="1">_xlfn.IFS(A69=2,"",COUNTBLANK(D69:J74)=COUNTIF(Ruimtestaat!D69:J74,"&lt;=0"),BK69/CB69,TRUE,"")</f>
        <v/>
      </c>
      <c r="M69" s="172" t="b">
        <f>IF(_xlfn.XLOOKUP(BB69,Tabel2[Locatiecode],Tabel2[Type locatie],"",0)="vaccin",TRUE,FALSE)</f>
        <v>0</v>
      </c>
      <c r="BB69" s="303" t="str">
        <f>IF(Ruimtestaat!BC69="","",Ruimtestaat!BC69)</f>
        <v>DHE-BPL</v>
      </c>
      <c r="BC69" s="304">
        <f t="shared" si="2"/>
        <v>255</v>
      </c>
      <c r="BD69" s="305">
        <f ca="1">Ruimtestaat!D69*$BC69</f>
        <v>13464</v>
      </c>
      <c r="BE69" s="306">
        <f ca="1">Ruimtestaat!E69*$BC69</f>
        <v>36975</v>
      </c>
      <c r="BF69" s="306">
        <f ca="1">Ruimtestaat!F69*$BC69</f>
        <v>30778.5</v>
      </c>
      <c r="BG69" s="306">
        <f ca="1">Ruimtestaat!G69*$BC69</f>
        <v>5125.5</v>
      </c>
      <c r="BH69" s="306">
        <f ca="1">Ruimtestaat!H69*$BC69</f>
        <v>1275</v>
      </c>
      <c r="BI69" s="307">
        <f ca="1">Ruimtestaat!I69*$BC69</f>
        <v>22490.999999999996</v>
      </c>
      <c r="BJ69" s="308">
        <f ca="1">Ruimtestaat!J69*$BC69</f>
        <v>0</v>
      </c>
      <c r="BK69" s="552">
        <f ca="1">SUM(BD69:BJ74)</f>
        <v>110109</v>
      </c>
      <c r="BR69" s="303" t="str">
        <f>IF(Ruimtestaat!BC69="","",Ruimtestaat!BC69)</f>
        <v>DHE-BPL</v>
      </c>
      <c r="BS69" s="304">
        <f t="shared" si="3"/>
        <v>255</v>
      </c>
      <c r="BT69" s="305">
        <f ca="1">IF(BD69&gt;0,IF(ISNUMBER(Schoonmaaknormen!D69),Schoonmaaknormen!BD69/Schoonmaaknormen!D69,0),"")</f>
        <v>0</v>
      </c>
      <c r="BU69" s="306">
        <f ca="1">IF(BE69&gt;0,IF(ISNUMBER(Schoonmaaknormen!E69),Schoonmaaknormen!BE69/Schoonmaaknormen!E69,0),"")</f>
        <v>0</v>
      </c>
      <c r="BV69" s="306">
        <f ca="1">IF(BF69&gt;0,IF(ISNUMBER(Schoonmaaknormen!F69),Schoonmaaknormen!BF69/Schoonmaaknormen!F69,0),"")</f>
        <v>0</v>
      </c>
      <c r="BW69" s="306">
        <f ca="1">IF(BG69&gt;0,IF(ISNUMBER(Schoonmaaknormen!G69),Schoonmaaknormen!BG69/Schoonmaaknormen!G69,0),"")</f>
        <v>0</v>
      </c>
      <c r="BX69" s="306">
        <f ca="1">IF(BH69&gt;0,IF(ISNUMBER(Schoonmaaknormen!H69),Schoonmaaknormen!BH69/Schoonmaaknormen!H69,0),"")</f>
        <v>0</v>
      </c>
      <c r="BY69" s="306">
        <f ca="1">IF(BI69&gt;0,IF(ISNUMBER(Schoonmaaknormen!I69),Schoonmaaknormen!BI69/Schoonmaaknormen!I69,0),"")</f>
        <v>0</v>
      </c>
      <c r="BZ69" s="306" t="str">
        <f ca="1">IF(BJ69&gt;0,IF(ISNUMBER(Schoonmaaknormen!J69),Schoonmaaknormen!BJ69/Schoonmaaknormen!J69,0),"")</f>
        <v/>
      </c>
      <c r="CA69" s="547" t="str" cm="1">
        <f t="array" ref="CA69">IF(ISNUMBER(K69),IF(SUM(BT69:BZ74)/LARGE(_xlfn._xlws.FILTER(Ruimtestaat!BD:BD,Ruimtestaat!BC:BC=BR69),1)&lt;K69,K69*LARGE(_xlfn._xlws.FILTER(Ruimtestaat!BD:BD,Ruimtestaat!BC:BC=BR69),1)-SUM(BT69:BZ74),0),"")</f>
        <v/>
      </c>
      <c r="CB69" s="551">
        <f ca="1">SUM(BT69:CA74)</f>
        <v>0</v>
      </c>
    </row>
    <row r="70" spans="1:80" ht="0.2" customHeight="1" x14ac:dyDescent="0.2">
      <c r="A70" s="172">
        <f ca="1">Ruimtestaat!A70</f>
        <v>2</v>
      </c>
      <c r="B70" s="557"/>
      <c r="C70" s="11">
        <v>204</v>
      </c>
      <c r="D70" s="309"/>
      <c r="E70" s="310"/>
      <c r="F70" s="310"/>
      <c r="G70" s="310"/>
      <c r="H70" s="310"/>
      <c r="I70" s="312"/>
      <c r="J70" s="312"/>
      <c r="K70" s="560"/>
      <c r="L70" s="552"/>
      <c r="M70" s="172" t="b">
        <f>IF(_xlfn.XLOOKUP(BB70,Tabel2[Locatiecode],Tabel2[Type locatie],"",0)="vaccin",TRUE,FALSE)</f>
        <v>0</v>
      </c>
      <c r="BB70" s="272" t="str">
        <f>IF(Ruimtestaat!BC70="","",Ruimtestaat!BC70)</f>
        <v>DHE-BPL</v>
      </c>
      <c r="BC70" s="273">
        <f t="shared" si="2"/>
        <v>204</v>
      </c>
      <c r="BD70" s="274">
        <f ca="1">Ruimtestaat!D70*$BC70</f>
        <v>0</v>
      </c>
      <c r="BE70" s="275">
        <f ca="1">Ruimtestaat!E70*$BC70</f>
        <v>0</v>
      </c>
      <c r="BF70" s="275">
        <f ca="1">Ruimtestaat!F70*$BC70</f>
        <v>0</v>
      </c>
      <c r="BG70" s="275">
        <f ca="1">Ruimtestaat!G70*$BC70</f>
        <v>0</v>
      </c>
      <c r="BH70" s="275">
        <f ca="1">Ruimtestaat!H70*$BC70</f>
        <v>0</v>
      </c>
      <c r="BI70" s="276">
        <f ca="1">Ruimtestaat!I70*$BC70</f>
        <v>0</v>
      </c>
      <c r="BJ70" s="277">
        <f ca="1">Ruimtestaat!J70*$BC70</f>
        <v>0</v>
      </c>
      <c r="BK70" s="552"/>
      <c r="BR70" s="272" t="str">
        <f>IF(Ruimtestaat!BC70="","",Ruimtestaat!BC70)</f>
        <v>DHE-BPL</v>
      </c>
      <c r="BS70" s="273">
        <f t="shared" si="3"/>
        <v>204</v>
      </c>
      <c r="BT70" s="274" t="str">
        <f ca="1">IF(BD70&gt;0,IF(ISNUMBER(Schoonmaaknormen!D70),Schoonmaaknormen!BD70/Schoonmaaknormen!D70,0),"")</f>
        <v/>
      </c>
      <c r="BU70" s="275" t="str">
        <f ca="1">IF(BE70&gt;0,IF(ISNUMBER(Schoonmaaknormen!E70),Schoonmaaknormen!BE70/Schoonmaaknormen!E70,0),"")</f>
        <v/>
      </c>
      <c r="BV70" s="275" t="str">
        <f ca="1">IF(BF70&gt;0,IF(ISNUMBER(Schoonmaaknormen!F70),Schoonmaaknormen!BF70/Schoonmaaknormen!F70,0),"")</f>
        <v/>
      </c>
      <c r="BW70" s="275" t="str">
        <f ca="1">IF(BG70&gt;0,IF(ISNUMBER(Schoonmaaknormen!G70),Schoonmaaknormen!BG70/Schoonmaaknormen!G70,0),"")</f>
        <v/>
      </c>
      <c r="BX70" s="275" t="str">
        <f ca="1">IF(BH70&gt;0,IF(ISNUMBER(Schoonmaaknormen!H70),Schoonmaaknormen!BH70/Schoonmaaknormen!H70,0),"")</f>
        <v/>
      </c>
      <c r="BY70" s="275" t="str">
        <f ca="1">IF(BI70&gt;0,IF(ISNUMBER(Schoonmaaknormen!I70),Schoonmaaknormen!BI70/Schoonmaaknormen!I70,0),"")</f>
        <v/>
      </c>
      <c r="BZ70" s="275" t="str">
        <f ca="1">IF(BJ70&gt;0,IF(ISNUMBER(Schoonmaaknormen!J70),Schoonmaaknormen!BJ70/Schoonmaaknormen!J70,0),"")</f>
        <v/>
      </c>
      <c r="CA70" s="548"/>
      <c r="CB70" s="552"/>
    </row>
    <row r="71" spans="1:80" ht="0.2" customHeight="1" x14ac:dyDescent="0.2">
      <c r="A71" s="172">
        <f ca="1">Ruimtestaat!A71</f>
        <v>2</v>
      </c>
      <c r="B71" s="557"/>
      <c r="C71" s="11">
        <v>156</v>
      </c>
      <c r="D71" s="309"/>
      <c r="E71" s="310"/>
      <c r="F71" s="310"/>
      <c r="G71" s="310"/>
      <c r="H71" s="310"/>
      <c r="I71" s="312"/>
      <c r="J71" s="312"/>
      <c r="K71" s="560"/>
      <c r="L71" s="552"/>
      <c r="M71" s="172" t="b">
        <f>IF(_xlfn.XLOOKUP(BB71,Tabel2[Locatiecode],Tabel2[Type locatie],"",0)="vaccin",TRUE,FALSE)</f>
        <v>0</v>
      </c>
      <c r="BB71" s="272" t="str">
        <f>IF(Ruimtestaat!BC71="","",Ruimtestaat!BC71)</f>
        <v>DHE-BPL</v>
      </c>
      <c r="BC71" s="273">
        <f t="shared" si="2"/>
        <v>156</v>
      </c>
      <c r="BD71" s="274">
        <f ca="1">Ruimtestaat!D71*$BC71</f>
        <v>0</v>
      </c>
      <c r="BE71" s="275">
        <f ca="1">Ruimtestaat!E71*$BC71</f>
        <v>0</v>
      </c>
      <c r="BF71" s="275">
        <f ca="1">Ruimtestaat!F71*$BC71</f>
        <v>0</v>
      </c>
      <c r="BG71" s="275">
        <f ca="1">Ruimtestaat!G71*$BC71</f>
        <v>0</v>
      </c>
      <c r="BH71" s="275">
        <f ca="1">Ruimtestaat!H71*$BC71</f>
        <v>0</v>
      </c>
      <c r="BI71" s="276">
        <f ca="1">Ruimtestaat!I71*$BC71</f>
        <v>0</v>
      </c>
      <c r="BJ71" s="277">
        <f ca="1">Ruimtestaat!J71*$BC71</f>
        <v>0</v>
      </c>
      <c r="BK71" s="552"/>
      <c r="BR71" s="272" t="str">
        <f>IF(Ruimtestaat!BC71="","",Ruimtestaat!BC71)</f>
        <v>DHE-BPL</v>
      </c>
      <c r="BS71" s="273">
        <f t="shared" si="3"/>
        <v>156</v>
      </c>
      <c r="BT71" s="274" t="str">
        <f ca="1">IF(BD71&gt;0,IF(ISNUMBER(Schoonmaaknormen!D71),Schoonmaaknormen!BD71/Schoonmaaknormen!D71,0),"")</f>
        <v/>
      </c>
      <c r="BU71" s="275" t="str">
        <f ca="1">IF(BE71&gt;0,IF(ISNUMBER(Schoonmaaknormen!E71),Schoonmaaknormen!BE71/Schoonmaaknormen!E71,0),"")</f>
        <v/>
      </c>
      <c r="BV71" s="275" t="str">
        <f ca="1">IF(BF71&gt;0,IF(ISNUMBER(Schoonmaaknormen!F71),Schoonmaaknormen!BF71/Schoonmaaknormen!F71,0),"")</f>
        <v/>
      </c>
      <c r="BW71" s="275" t="str">
        <f ca="1">IF(BG71&gt;0,IF(ISNUMBER(Schoonmaaknormen!G71),Schoonmaaknormen!BG71/Schoonmaaknormen!G71,0),"")</f>
        <v/>
      </c>
      <c r="BX71" s="275" t="str">
        <f ca="1">IF(BH71&gt;0,IF(ISNUMBER(Schoonmaaknormen!H71),Schoonmaaknormen!BH71/Schoonmaaknormen!H71,0),"")</f>
        <v/>
      </c>
      <c r="BY71" s="275" t="str">
        <f ca="1">IF(BI71&gt;0,IF(ISNUMBER(Schoonmaaknormen!I71),Schoonmaaknormen!BI71/Schoonmaaknormen!I71,0),"")</f>
        <v/>
      </c>
      <c r="BZ71" s="275" t="str">
        <f ca="1">IF(BJ71&gt;0,IF(ISNUMBER(Schoonmaaknormen!J71),Schoonmaaknormen!BJ71/Schoonmaaknormen!J71,0),"")</f>
        <v/>
      </c>
      <c r="CA71" s="548"/>
      <c r="CB71" s="552"/>
    </row>
    <row r="72" spans="1:80" ht="0.2" customHeight="1" x14ac:dyDescent="0.2">
      <c r="A72" s="172">
        <f ca="1">Ruimtestaat!A72</f>
        <v>2</v>
      </c>
      <c r="B72" s="557"/>
      <c r="C72" s="11">
        <v>104</v>
      </c>
      <c r="D72" s="309"/>
      <c r="E72" s="310"/>
      <c r="F72" s="310"/>
      <c r="G72" s="310"/>
      <c r="H72" s="310"/>
      <c r="I72" s="312"/>
      <c r="J72" s="312"/>
      <c r="K72" s="561"/>
      <c r="L72" s="553"/>
      <c r="M72" s="172" t="b">
        <f>IF(_xlfn.XLOOKUP(BB72,Tabel2[Locatiecode],Tabel2[Type locatie],"",0)="vaccin",TRUE,FALSE)</f>
        <v>0</v>
      </c>
      <c r="BB72" s="278" t="str">
        <f>IF(Ruimtestaat!BC72="","",Ruimtestaat!BC72)</f>
        <v>DHE-BPL</v>
      </c>
      <c r="BC72" s="279">
        <f t="shared" si="2"/>
        <v>104</v>
      </c>
      <c r="BD72" s="280">
        <f ca="1">Ruimtestaat!D72*$BC72</f>
        <v>0</v>
      </c>
      <c r="BE72" s="281">
        <f ca="1">Ruimtestaat!E72*$BC72</f>
        <v>0</v>
      </c>
      <c r="BF72" s="281">
        <f ca="1">Ruimtestaat!F72*$BC72</f>
        <v>0</v>
      </c>
      <c r="BG72" s="281">
        <f ca="1">Ruimtestaat!G72*$BC72</f>
        <v>0</v>
      </c>
      <c r="BH72" s="281">
        <f ca="1">Ruimtestaat!H72*$BC72</f>
        <v>0</v>
      </c>
      <c r="BI72" s="282">
        <f ca="1">Ruimtestaat!I72*$BC72</f>
        <v>0</v>
      </c>
      <c r="BJ72" s="283">
        <f ca="1">Ruimtestaat!J72*$BC72</f>
        <v>0</v>
      </c>
      <c r="BK72" s="553"/>
      <c r="BR72" s="278" t="str">
        <f>IF(Ruimtestaat!BC72="","",Ruimtestaat!BC72)</f>
        <v>DHE-BPL</v>
      </c>
      <c r="BS72" s="313">
        <f t="shared" si="3"/>
        <v>104</v>
      </c>
      <c r="BT72" s="280" t="str">
        <f ca="1">IF(BD72&gt;0,IF(ISNUMBER(Schoonmaaknormen!D72),Schoonmaaknormen!BD72/Schoonmaaknormen!D72,0),"")</f>
        <v/>
      </c>
      <c r="BU72" s="314" t="str">
        <f ca="1">IF(BE72&gt;0,IF(ISNUMBER(Schoonmaaknormen!E72),Schoonmaaknormen!BE72/Schoonmaaknormen!E72,0),"")</f>
        <v/>
      </c>
      <c r="BV72" s="314" t="str">
        <f ca="1">IF(BF72&gt;0,IF(ISNUMBER(Schoonmaaknormen!F72),Schoonmaaknormen!BF72/Schoonmaaknormen!F72,0),"")</f>
        <v/>
      </c>
      <c r="BW72" s="314" t="str">
        <f ca="1">IF(BG72&gt;0,IF(ISNUMBER(Schoonmaaknormen!G72),Schoonmaaknormen!BG72/Schoonmaaknormen!G72,0),"")</f>
        <v/>
      </c>
      <c r="BX72" s="314" t="str">
        <f ca="1">IF(BH72&gt;0,IF(ISNUMBER(Schoonmaaknormen!H72),Schoonmaaknormen!BH72/Schoonmaaknormen!H72,0),"")</f>
        <v/>
      </c>
      <c r="BY72" s="314" t="str">
        <f ca="1">IF(BI72&gt;0,IF(ISNUMBER(Schoonmaaknormen!I72),Schoonmaaknormen!BI72/Schoonmaaknormen!I72,0),"")</f>
        <v/>
      </c>
      <c r="BZ72" s="314" t="str">
        <f ca="1">IF(BJ72&gt;0,IF(ISNUMBER(Schoonmaaknormen!J72),Schoonmaaknormen!BJ72/Schoonmaaknormen!J72,0),"")</f>
        <v/>
      </c>
      <c r="CA72" s="549"/>
      <c r="CB72" s="553"/>
    </row>
    <row r="73" spans="1:80" ht="0.2" customHeight="1" x14ac:dyDescent="0.2">
      <c r="A73" s="172">
        <f ca="1">Ruimtestaat!A73</f>
        <v>2</v>
      </c>
      <c r="B73" s="557"/>
      <c r="C73" s="11">
        <v>52</v>
      </c>
      <c r="D73" s="309"/>
      <c r="E73" s="310"/>
      <c r="F73" s="310"/>
      <c r="G73" s="310"/>
      <c r="H73" s="310"/>
      <c r="I73" s="312"/>
      <c r="J73" s="312"/>
      <c r="K73" s="561"/>
      <c r="L73" s="553"/>
      <c r="M73" s="172" t="b">
        <f>IF(_xlfn.XLOOKUP(BB73,Tabel2[Locatiecode],Tabel2[Type locatie],"",0)="vaccin",TRUE,FALSE)</f>
        <v>0</v>
      </c>
      <c r="BB73" s="284" t="str">
        <f>IF(Ruimtestaat!BC73="","",Ruimtestaat!BC73)</f>
        <v>DHE-BPL</v>
      </c>
      <c r="BC73" s="285">
        <f t="shared" si="2"/>
        <v>52</v>
      </c>
      <c r="BD73" s="286">
        <f ca="1">Ruimtestaat!D73*$BC73</f>
        <v>0</v>
      </c>
      <c r="BE73" s="287">
        <f ca="1">Ruimtestaat!E73*$BC73</f>
        <v>0</v>
      </c>
      <c r="BF73" s="287">
        <f ca="1">Ruimtestaat!F73*$BC73</f>
        <v>0</v>
      </c>
      <c r="BG73" s="287">
        <f ca="1">Ruimtestaat!G73*$BC73</f>
        <v>0</v>
      </c>
      <c r="BH73" s="287">
        <f ca="1">Ruimtestaat!H73*$BC73</f>
        <v>0</v>
      </c>
      <c r="BI73" s="288">
        <f ca="1">Ruimtestaat!I73*$BC73</f>
        <v>0</v>
      </c>
      <c r="BJ73" s="289">
        <f ca="1">Ruimtestaat!J73*$BC73</f>
        <v>0</v>
      </c>
      <c r="BK73" s="553"/>
      <c r="BR73" s="284" t="str">
        <f>IF(Ruimtestaat!BC73="","",Ruimtestaat!BC73)</f>
        <v>DHE-BPL</v>
      </c>
      <c r="BS73" s="285">
        <f t="shared" si="3"/>
        <v>52</v>
      </c>
      <c r="BT73" s="286" t="str">
        <f ca="1">IF(BD73&gt;0,IF(ISNUMBER(Schoonmaaknormen!D73),Schoonmaaknormen!BD73/Schoonmaaknormen!D73,0),"")</f>
        <v/>
      </c>
      <c r="BU73" s="287" t="str">
        <f ca="1">IF(BE73&gt;0,IF(ISNUMBER(Schoonmaaknormen!E73),Schoonmaaknormen!BE73/Schoonmaaknormen!E73,0),"")</f>
        <v/>
      </c>
      <c r="BV73" s="287" t="str">
        <f ca="1">IF(BF73&gt;0,IF(ISNUMBER(Schoonmaaknormen!F73),Schoonmaaknormen!BF73/Schoonmaaknormen!F73,0),"")</f>
        <v/>
      </c>
      <c r="BW73" s="287" t="str">
        <f ca="1">IF(BG73&gt;0,IF(ISNUMBER(Schoonmaaknormen!G73),Schoonmaaknormen!BG73/Schoonmaaknormen!G73,0),"")</f>
        <v/>
      </c>
      <c r="BX73" s="287" t="str">
        <f ca="1">IF(BH73&gt;0,IF(ISNUMBER(Schoonmaaknormen!H73),Schoonmaaknormen!BH73/Schoonmaaknormen!H73,0),"")</f>
        <v/>
      </c>
      <c r="BY73" s="287" t="str">
        <f ca="1">IF(BI73&gt;0,IF(ISNUMBER(Schoonmaaknormen!I73),Schoonmaaknormen!BI73/Schoonmaaknormen!I73,0),"")</f>
        <v/>
      </c>
      <c r="BZ73" s="287" t="str">
        <f ca="1">IF(BJ73&gt;0,IF(ISNUMBER(Schoonmaaknormen!J73),Schoonmaaknormen!BJ73/Schoonmaaknormen!J73,0),"")</f>
        <v/>
      </c>
      <c r="CA73" s="549"/>
      <c r="CB73" s="553"/>
    </row>
    <row r="74" spans="1:80" ht="0.2" customHeight="1" x14ac:dyDescent="0.2">
      <c r="A74" s="172">
        <f ca="1">Ruimtestaat!A74</f>
        <v>2</v>
      </c>
      <c r="B74" s="558"/>
      <c r="C74" s="290">
        <v>4</v>
      </c>
      <c r="D74" s="186"/>
      <c r="E74" s="187"/>
      <c r="F74" s="187"/>
      <c r="G74" s="187"/>
      <c r="H74" s="187"/>
      <c r="I74" s="189"/>
      <c r="J74" s="189"/>
      <c r="K74" s="562"/>
      <c r="L74" s="554"/>
      <c r="M74" s="172" t="b">
        <f>IF(_xlfn.XLOOKUP(BB74,Tabel2[Locatiecode],Tabel2[Type locatie],"",0)="vaccin",TRUE,FALSE)</f>
        <v>0</v>
      </c>
      <c r="BB74" s="291" t="str">
        <f>IF(Ruimtestaat!BC74="","",Ruimtestaat!BC74)</f>
        <v>DHE-BPL</v>
      </c>
      <c r="BC74" s="292">
        <f t="shared" si="2"/>
        <v>4</v>
      </c>
      <c r="BD74" s="293">
        <f ca="1">Ruimtestaat!D74*$BC74</f>
        <v>0</v>
      </c>
      <c r="BE74" s="294">
        <f ca="1">Ruimtestaat!E74*$BC74</f>
        <v>0</v>
      </c>
      <c r="BF74" s="294">
        <f ca="1">Ruimtestaat!F74*$BC74</f>
        <v>0</v>
      </c>
      <c r="BG74" s="294">
        <f ca="1">Ruimtestaat!G74*$BC74</f>
        <v>0</v>
      </c>
      <c r="BH74" s="294">
        <f ca="1">Ruimtestaat!H74*$BC74</f>
        <v>0</v>
      </c>
      <c r="BI74" s="295">
        <f ca="1">Ruimtestaat!I74*$BC74</f>
        <v>0</v>
      </c>
      <c r="BJ74" s="296">
        <f ca="1">Ruimtestaat!J74*$BC74</f>
        <v>0</v>
      </c>
      <c r="BK74" s="554"/>
      <c r="BR74" s="291" t="str">
        <f>IF(Ruimtestaat!BC74="","",Ruimtestaat!BC74)</f>
        <v>DHE-BPL</v>
      </c>
      <c r="BS74" s="292">
        <f t="shared" si="3"/>
        <v>4</v>
      </c>
      <c r="BT74" s="293" t="str">
        <f ca="1">IF(BD74&gt;0,IF(ISNUMBER(Schoonmaaknormen!D74),Schoonmaaknormen!BD74/Schoonmaaknormen!D74,0),"")</f>
        <v/>
      </c>
      <c r="BU74" s="294" t="str">
        <f ca="1">IF(BE74&gt;0,IF(ISNUMBER(Schoonmaaknormen!E74),Schoonmaaknormen!BE74/Schoonmaaknormen!E74,0),"")</f>
        <v/>
      </c>
      <c r="BV74" s="294" t="str">
        <f ca="1">IF(BF74&gt;0,IF(ISNUMBER(Schoonmaaknormen!F74),Schoonmaaknormen!BF74/Schoonmaaknormen!F74,0),"")</f>
        <v/>
      </c>
      <c r="BW74" s="294" t="str">
        <f ca="1">IF(BG74&gt;0,IF(ISNUMBER(Schoonmaaknormen!G74),Schoonmaaknormen!BG74/Schoonmaaknormen!G74,0),"")</f>
        <v/>
      </c>
      <c r="BX74" s="294" t="str">
        <f ca="1">IF(BH74&gt;0,IF(ISNUMBER(Schoonmaaknormen!H74),Schoonmaaknormen!BH74/Schoonmaaknormen!H74,0),"")</f>
        <v/>
      </c>
      <c r="BY74" s="294" t="str">
        <f ca="1">IF(BI74&gt;0,IF(ISNUMBER(Schoonmaaknormen!I74),Schoonmaaknormen!BI74/Schoonmaaknormen!I74,0),"")</f>
        <v/>
      </c>
      <c r="BZ74" s="294" t="str">
        <f ca="1">IF(BJ74&gt;0,IF(ISNUMBER(Schoonmaaknormen!J74),Schoonmaaknormen!BJ74/Schoonmaaknormen!J74,0),"")</f>
        <v/>
      </c>
      <c r="CA74" s="555"/>
      <c r="CB74" s="554"/>
    </row>
    <row r="75" spans="1:80" ht="15" customHeight="1" x14ac:dyDescent="0.2">
      <c r="A75" s="172">
        <f ca="1">Ruimtestaat!A75</f>
        <v>1</v>
      </c>
      <c r="B75" s="556" t="str">
        <f>BB75</f>
        <v>DHE-FBW</v>
      </c>
      <c r="C75" s="298">
        <v>255</v>
      </c>
      <c r="D75" s="299"/>
      <c r="E75" s="300"/>
      <c r="F75" s="300"/>
      <c r="G75" s="300"/>
      <c r="H75" s="300"/>
      <c r="I75" s="302"/>
      <c r="J75" s="302"/>
      <c r="K75" s="559"/>
      <c r="L75" s="551" t="str" cm="1">
        <f t="array" aca="1" ref="L75" ca="1">_xlfn.IFS(A75=2,"",COUNTBLANK(D75:J80)=COUNTIF(Ruimtestaat!D75:J80,"&lt;=0"),BK75/CB75,TRUE,"")</f>
        <v/>
      </c>
      <c r="M75" s="172" t="b">
        <f>IF(_xlfn.XLOOKUP(BB75,Tabel2[Locatiecode],Tabel2[Type locatie],"",0)="vaccin",TRUE,FALSE)</f>
        <v>1</v>
      </c>
      <c r="BB75" s="303" t="str">
        <f>IF(Ruimtestaat!BC75="","",Ruimtestaat!BC75)</f>
        <v>DHE-FBW</v>
      </c>
      <c r="BC75" s="304">
        <f t="shared" si="2"/>
        <v>255</v>
      </c>
      <c r="BD75" s="305">
        <f ca="1">Ruimtestaat!D75*$BC75</f>
        <v>0</v>
      </c>
      <c r="BE75" s="306">
        <f ca="1">Ruimtestaat!E75*$BC75</f>
        <v>176689.5</v>
      </c>
      <c r="BF75" s="306">
        <f ca="1">Ruimtestaat!F75*$BC75</f>
        <v>0</v>
      </c>
      <c r="BG75" s="306">
        <f ca="1">Ruimtestaat!G75*$BC75</f>
        <v>25704</v>
      </c>
      <c r="BH75" s="306">
        <f ca="1">Ruimtestaat!H75*$BC75</f>
        <v>8160</v>
      </c>
      <c r="BI75" s="307">
        <f ca="1">Ruimtestaat!I75*$BC75</f>
        <v>51025.500000000007</v>
      </c>
      <c r="BJ75" s="308">
        <f ca="1">Ruimtestaat!J75*$BC75</f>
        <v>0</v>
      </c>
      <c r="BK75" s="552">
        <f ca="1">SUM(BD75:BJ80)</f>
        <v>261579</v>
      </c>
      <c r="BR75" s="303" t="str">
        <f>IF(Ruimtestaat!BC75="","",Ruimtestaat!BC75)</f>
        <v>DHE-FBW</v>
      </c>
      <c r="BS75" s="304">
        <f t="shared" si="3"/>
        <v>255</v>
      </c>
      <c r="BT75" s="305" t="str">
        <f ca="1">IF(BD75&gt;0,IF(ISNUMBER(Schoonmaaknormen!D75),Schoonmaaknormen!BD75/Schoonmaaknormen!D75,0),"")</f>
        <v/>
      </c>
      <c r="BU75" s="306">
        <f ca="1">IF(BE75&gt;0,IF(ISNUMBER(Schoonmaaknormen!E75),Schoonmaaknormen!BE75/Schoonmaaknormen!E75,0),"")</f>
        <v>0</v>
      </c>
      <c r="BV75" s="306" t="str">
        <f ca="1">IF(BF75&gt;0,IF(ISNUMBER(Schoonmaaknormen!F75),Schoonmaaknormen!BF75/Schoonmaaknormen!F75,0),"")</f>
        <v/>
      </c>
      <c r="BW75" s="306">
        <f ca="1">IF(BG75&gt;0,IF(ISNUMBER(Schoonmaaknormen!G75),Schoonmaaknormen!BG75/Schoonmaaknormen!G75,0),"")</f>
        <v>0</v>
      </c>
      <c r="BX75" s="306">
        <f ca="1">IF(BH75&gt;0,IF(ISNUMBER(Schoonmaaknormen!H75),Schoonmaaknormen!BH75/Schoonmaaknormen!H75,0),"")</f>
        <v>0</v>
      </c>
      <c r="BY75" s="306">
        <f ca="1">IF(BI75&gt;0,IF(ISNUMBER(Schoonmaaknormen!I75),Schoonmaaknormen!BI75/Schoonmaaknormen!I75,0),"")</f>
        <v>0</v>
      </c>
      <c r="BZ75" s="306" t="str">
        <f ca="1">IF(BJ75&gt;0,IF(ISNUMBER(Schoonmaaknormen!J75),Schoonmaaknormen!BJ75/Schoonmaaknormen!J75,0),"")</f>
        <v/>
      </c>
      <c r="CA75" s="547" t="str" cm="1">
        <f t="array" ref="CA75">IF(ISNUMBER(K75),IF(SUM(BT75:BZ80)/LARGE(_xlfn._xlws.FILTER(Ruimtestaat!BD:BD,Ruimtestaat!BC:BC=BR75),1)&lt;K75,K75*LARGE(_xlfn._xlws.FILTER(Ruimtestaat!BD:BD,Ruimtestaat!BC:BC=BR75),1)-SUM(BT75:BZ80),0),"")</f>
        <v/>
      </c>
      <c r="CB75" s="551">
        <f ca="1">SUM(BT75:CA80)</f>
        <v>0</v>
      </c>
    </row>
    <row r="76" spans="1:80" ht="0.2" customHeight="1" x14ac:dyDescent="0.2">
      <c r="A76" s="172">
        <f ca="1">Ruimtestaat!A76</f>
        <v>2</v>
      </c>
      <c r="B76" s="557"/>
      <c r="C76" s="11">
        <v>204</v>
      </c>
      <c r="D76" s="309"/>
      <c r="E76" s="310"/>
      <c r="F76" s="310"/>
      <c r="G76" s="310"/>
      <c r="H76" s="310"/>
      <c r="I76" s="312"/>
      <c r="J76" s="312"/>
      <c r="K76" s="560"/>
      <c r="L76" s="552"/>
      <c r="M76" s="172" t="b">
        <f>IF(_xlfn.XLOOKUP(BB76,Tabel2[Locatiecode],Tabel2[Type locatie],"",0)="vaccin",TRUE,FALSE)</f>
        <v>1</v>
      </c>
      <c r="BB76" s="272" t="str">
        <f>IF(Ruimtestaat!BC76="","",Ruimtestaat!BC76)</f>
        <v>DHE-FBW</v>
      </c>
      <c r="BC76" s="273">
        <f t="shared" si="2"/>
        <v>204</v>
      </c>
      <c r="BD76" s="274">
        <f ca="1">Ruimtestaat!D76*$BC76</f>
        <v>0</v>
      </c>
      <c r="BE76" s="275">
        <f ca="1">Ruimtestaat!E76*$BC76</f>
        <v>0</v>
      </c>
      <c r="BF76" s="275">
        <f ca="1">Ruimtestaat!F76*$BC76</f>
        <v>0</v>
      </c>
      <c r="BG76" s="275">
        <f ca="1">Ruimtestaat!G76*$BC76</f>
        <v>0</v>
      </c>
      <c r="BH76" s="275">
        <f ca="1">Ruimtestaat!H76*$BC76</f>
        <v>0</v>
      </c>
      <c r="BI76" s="276">
        <f ca="1">Ruimtestaat!I76*$BC76</f>
        <v>0</v>
      </c>
      <c r="BJ76" s="277">
        <f ca="1">Ruimtestaat!J76*$BC76</f>
        <v>0</v>
      </c>
      <c r="BK76" s="552"/>
      <c r="BR76" s="272" t="str">
        <f>IF(Ruimtestaat!BC76="","",Ruimtestaat!BC76)</f>
        <v>DHE-FBW</v>
      </c>
      <c r="BS76" s="273">
        <f t="shared" si="3"/>
        <v>204</v>
      </c>
      <c r="BT76" s="274" t="str">
        <f ca="1">IF(BD76&gt;0,IF(ISNUMBER(Schoonmaaknormen!D76),Schoonmaaknormen!BD76/Schoonmaaknormen!D76,0),"")</f>
        <v/>
      </c>
      <c r="BU76" s="275" t="str">
        <f ca="1">IF(BE76&gt;0,IF(ISNUMBER(Schoonmaaknormen!E76),Schoonmaaknormen!BE76/Schoonmaaknormen!E76,0),"")</f>
        <v/>
      </c>
      <c r="BV76" s="275" t="str">
        <f ca="1">IF(BF76&gt;0,IF(ISNUMBER(Schoonmaaknormen!F76),Schoonmaaknormen!BF76/Schoonmaaknormen!F76,0),"")</f>
        <v/>
      </c>
      <c r="BW76" s="275" t="str">
        <f ca="1">IF(BG76&gt;0,IF(ISNUMBER(Schoonmaaknormen!G76),Schoonmaaknormen!BG76/Schoonmaaknormen!G76,0),"")</f>
        <v/>
      </c>
      <c r="BX76" s="275" t="str">
        <f ca="1">IF(BH76&gt;0,IF(ISNUMBER(Schoonmaaknormen!H76),Schoonmaaknormen!BH76/Schoonmaaknormen!H76,0),"")</f>
        <v/>
      </c>
      <c r="BY76" s="275" t="str">
        <f ca="1">IF(BI76&gt;0,IF(ISNUMBER(Schoonmaaknormen!I76),Schoonmaaknormen!BI76/Schoonmaaknormen!I76,0),"")</f>
        <v/>
      </c>
      <c r="BZ76" s="275" t="str">
        <f ca="1">IF(BJ76&gt;0,IF(ISNUMBER(Schoonmaaknormen!J76),Schoonmaaknormen!BJ76/Schoonmaaknormen!J76,0),"")</f>
        <v/>
      </c>
      <c r="CA76" s="548"/>
      <c r="CB76" s="552"/>
    </row>
    <row r="77" spans="1:80" ht="0.2" customHeight="1" x14ac:dyDescent="0.2">
      <c r="A77" s="172">
        <f ca="1">Ruimtestaat!A77</f>
        <v>2</v>
      </c>
      <c r="B77" s="557"/>
      <c r="C77" s="11">
        <v>156</v>
      </c>
      <c r="D77" s="309"/>
      <c r="E77" s="310"/>
      <c r="F77" s="310"/>
      <c r="G77" s="310"/>
      <c r="H77" s="310"/>
      <c r="I77" s="312"/>
      <c r="J77" s="312"/>
      <c r="K77" s="560"/>
      <c r="L77" s="552"/>
      <c r="M77" s="172" t="b">
        <f>IF(_xlfn.XLOOKUP(BB77,Tabel2[Locatiecode],Tabel2[Type locatie],"",0)="vaccin",TRUE,FALSE)</f>
        <v>1</v>
      </c>
      <c r="BB77" s="272" t="str">
        <f>IF(Ruimtestaat!BC77="","",Ruimtestaat!BC77)</f>
        <v>DHE-FBW</v>
      </c>
      <c r="BC77" s="273">
        <f t="shared" si="2"/>
        <v>156</v>
      </c>
      <c r="BD77" s="274">
        <f ca="1">Ruimtestaat!D77*$BC77</f>
        <v>0</v>
      </c>
      <c r="BE77" s="275">
        <f ca="1">Ruimtestaat!E77*$BC77</f>
        <v>0</v>
      </c>
      <c r="BF77" s="275">
        <f ca="1">Ruimtestaat!F77*$BC77</f>
        <v>0</v>
      </c>
      <c r="BG77" s="275">
        <f ca="1">Ruimtestaat!G77*$BC77</f>
        <v>0</v>
      </c>
      <c r="BH77" s="275">
        <f ca="1">Ruimtestaat!H77*$BC77</f>
        <v>0</v>
      </c>
      <c r="BI77" s="276">
        <f ca="1">Ruimtestaat!I77*$BC77</f>
        <v>0</v>
      </c>
      <c r="BJ77" s="277">
        <f ca="1">Ruimtestaat!J77*$BC77</f>
        <v>0</v>
      </c>
      <c r="BK77" s="552"/>
      <c r="BR77" s="272" t="str">
        <f>IF(Ruimtestaat!BC77="","",Ruimtestaat!BC77)</f>
        <v>DHE-FBW</v>
      </c>
      <c r="BS77" s="273">
        <f t="shared" si="3"/>
        <v>156</v>
      </c>
      <c r="BT77" s="274" t="str">
        <f ca="1">IF(BD77&gt;0,IF(ISNUMBER(Schoonmaaknormen!D77),Schoonmaaknormen!BD77/Schoonmaaknormen!D77,0),"")</f>
        <v/>
      </c>
      <c r="BU77" s="275" t="str">
        <f ca="1">IF(BE77&gt;0,IF(ISNUMBER(Schoonmaaknormen!E77),Schoonmaaknormen!BE77/Schoonmaaknormen!E77,0),"")</f>
        <v/>
      </c>
      <c r="BV77" s="275" t="str">
        <f ca="1">IF(BF77&gt;0,IF(ISNUMBER(Schoonmaaknormen!F77),Schoonmaaknormen!BF77/Schoonmaaknormen!F77,0),"")</f>
        <v/>
      </c>
      <c r="BW77" s="275" t="str">
        <f ca="1">IF(BG77&gt;0,IF(ISNUMBER(Schoonmaaknormen!G77),Schoonmaaknormen!BG77/Schoonmaaknormen!G77,0),"")</f>
        <v/>
      </c>
      <c r="BX77" s="275" t="str">
        <f ca="1">IF(BH77&gt;0,IF(ISNUMBER(Schoonmaaknormen!H77),Schoonmaaknormen!BH77/Schoonmaaknormen!H77,0),"")</f>
        <v/>
      </c>
      <c r="BY77" s="275" t="str">
        <f ca="1">IF(BI77&gt;0,IF(ISNUMBER(Schoonmaaknormen!I77),Schoonmaaknormen!BI77/Schoonmaaknormen!I77,0),"")</f>
        <v/>
      </c>
      <c r="BZ77" s="275" t="str">
        <f ca="1">IF(BJ77&gt;0,IF(ISNUMBER(Schoonmaaknormen!J77),Schoonmaaknormen!BJ77/Schoonmaaknormen!J77,0),"")</f>
        <v/>
      </c>
      <c r="CA77" s="548"/>
      <c r="CB77" s="552"/>
    </row>
    <row r="78" spans="1:80" ht="0.2" customHeight="1" x14ac:dyDescent="0.2">
      <c r="A78" s="172">
        <f ca="1">Ruimtestaat!A78</f>
        <v>2</v>
      </c>
      <c r="B78" s="557"/>
      <c r="C78" s="11">
        <v>104</v>
      </c>
      <c r="D78" s="309"/>
      <c r="E78" s="310"/>
      <c r="F78" s="310"/>
      <c r="G78" s="310"/>
      <c r="H78" s="310"/>
      <c r="I78" s="312"/>
      <c r="J78" s="312"/>
      <c r="K78" s="561"/>
      <c r="L78" s="553"/>
      <c r="M78" s="172" t="b">
        <f>IF(_xlfn.XLOOKUP(BB78,Tabel2[Locatiecode],Tabel2[Type locatie],"",0)="vaccin",TRUE,FALSE)</f>
        <v>1</v>
      </c>
      <c r="BB78" s="278" t="str">
        <f>IF(Ruimtestaat!BC78="","",Ruimtestaat!BC78)</f>
        <v>DHE-FBW</v>
      </c>
      <c r="BC78" s="279">
        <f t="shared" si="2"/>
        <v>104</v>
      </c>
      <c r="BD78" s="280">
        <f ca="1">Ruimtestaat!D78*$BC78</f>
        <v>0</v>
      </c>
      <c r="BE78" s="281">
        <f ca="1">Ruimtestaat!E78*$BC78</f>
        <v>0</v>
      </c>
      <c r="BF78" s="281">
        <f ca="1">Ruimtestaat!F78*$BC78</f>
        <v>0</v>
      </c>
      <c r="BG78" s="281">
        <f ca="1">Ruimtestaat!G78*$BC78</f>
        <v>0</v>
      </c>
      <c r="BH78" s="281">
        <f ca="1">Ruimtestaat!H78*$BC78</f>
        <v>0</v>
      </c>
      <c r="BI78" s="282">
        <f ca="1">Ruimtestaat!I78*$BC78</f>
        <v>0</v>
      </c>
      <c r="BJ78" s="283">
        <f ca="1">Ruimtestaat!J78*$BC78</f>
        <v>0</v>
      </c>
      <c r="BK78" s="553"/>
      <c r="BR78" s="278" t="str">
        <f>IF(Ruimtestaat!BC78="","",Ruimtestaat!BC78)</f>
        <v>DHE-FBW</v>
      </c>
      <c r="BS78" s="313">
        <f t="shared" si="3"/>
        <v>104</v>
      </c>
      <c r="BT78" s="280" t="str">
        <f ca="1">IF(BD78&gt;0,IF(ISNUMBER(Schoonmaaknormen!D78),Schoonmaaknormen!BD78/Schoonmaaknormen!D78,0),"")</f>
        <v/>
      </c>
      <c r="BU78" s="314" t="str">
        <f ca="1">IF(BE78&gt;0,IF(ISNUMBER(Schoonmaaknormen!E78),Schoonmaaknormen!BE78/Schoonmaaknormen!E78,0),"")</f>
        <v/>
      </c>
      <c r="BV78" s="314" t="str">
        <f ca="1">IF(BF78&gt;0,IF(ISNUMBER(Schoonmaaknormen!F78),Schoonmaaknormen!BF78/Schoonmaaknormen!F78,0),"")</f>
        <v/>
      </c>
      <c r="BW78" s="314" t="str">
        <f ca="1">IF(BG78&gt;0,IF(ISNUMBER(Schoonmaaknormen!G78),Schoonmaaknormen!BG78/Schoonmaaknormen!G78,0),"")</f>
        <v/>
      </c>
      <c r="BX78" s="314" t="str">
        <f ca="1">IF(BH78&gt;0,IF(ISNUMBER(Schoonmaaknormen!H78),Schoonmaaknormen!BH78/Schoonmaaknormen!H78,0),"")</f>
        <v/>
      </c>
      <c r="BY78" s="314" t="str">
        <f ca="1">IF(BI78&gt;0,IF(ISNUMBER(Schoonmaaknormen!I78),Schoonmaaknormen!BI78/Schoonmaaknormen!I78,0),"")</f>
        <v/>
      </c>
      <c r="BZ78" s="314" t="str">
        <f ca="1">IF(BJ78&gt;0,IF(ISNUMBER(Schoonmaaknormen!J78),Schoonmaaknormen!BJ78/Schoonmaaknormen!J78,0),"")</f>
        <v/>
      </c>
      <c r="CA78" s="549"/>
      <c r="CB78" s="553"/>
    </row>
    <row r="79" spans="1:80" ht="0.2" customHeight="1" x14ac:dyDescent="0.2">
      <c r="A79" s="172">
        <f ca="1">Ruimtestaat!A79</f>
        <v>2</v>
      </c>
      <c r="B79" s="557"/>
      <c r="C79" s="11">
        <v>52</v>
      </c>
      <c r="D79" s="309"/>
      <c r="E79" s="310"/>
      <c r="F79" s="310"/>
      <c r="G79" s="310"/>
      <c r="H79" s="310"/>
      <c r="I79" s="312"/>
      <c r="J79" s="312"/>
      <c r="K79" s="561"/>
      <c r="L79" s="553"/>
      <c r="M79" s="172" t="b">
        <f>IF(_xlfn.XLOOKUP(BB79,Tabel2[Locatiecode],Tabel2[Type locatie],"",0)="vaccin",TRUE,FALSE)</f>
        <v>1</v>
      </c>
      <c r="BB79" s="284" t="str">
        <f>IF(Ruimtestaat!BC79="","",Ruimtestaat!BC79)</f>
        <v>DHE-FBW</v>
      </c>
      <c r="BC79" s="285">
        <f t="shared" si="2"/>
        <v>52</v>
      </c>
      <c r="BD79" s="286">
        <f ca="1">Ruimtestaat!D79*$BC79</f>
        <v>0</v>
      </c>
      <c r="BE79" s="287">
        <f ca="1">Ruimtestaat!E79*$BC79</f>
        <v>0</v>
      </c>
      <c r="BF79" s="287">
        <f ca="1">Ruimtestaat!F79*$BC79</f>
        <v>0</v>
      </c>
      <c r="BG79" s="287">
        <f ca="1">Ruimtestaat!G79*$BC79</f>
        <v>0</v>
      </c>
      <c r="BH79" s="287">
        <f ca="1">Ruimtestaat!H79*$BC79</f>
        <v>0</v>
      </c>
      <c r="BI79" s="288">
        <f ca="1">Ruimtestaat!I79*$BC79</f>
        <v>0</v>
      </c>
      <c r="BJ79" s="289">
        <f ca="1">Ruimtestaat!J79*$BC79</f>
        <v>0</v>
      </c>
      <c r="BK79" s="553"/>
      <c r="BR79" s="284" t="str">
        <f>IF(Ruimtestaat!BC79="","",Ruimtestaat!BC79)</f>
        <v>DHE-FBW</v>
      </c>
      <c r="BS79" s="285">
        <f t="shared" si="3"/>
        <v>52</v>
      </c>
      <c r="BT79" s="286" t="str">
        <f ca="1">IF(BD79&gt;0,IF(ISNUMBER(Schoonmaaknormen!D79),Schoonmaaknormen!BD79/Schoonmaaknormen!D79,0),"")</f>
        <v/>
      </c>
      <c r="BU79" s="287" t="str">
        <f ca="1">IF(BE79&gt;0,IF(ISNUMBER(Schoonmaaknormen!E79),Schoonmaaknormen!BE79/Schoonmaaknormen!E79,0),"")</f>
        <v/>
      </c>
      <c r="BV79" s="287" t="str">
        <f ca="1">IF(BF79&gt;0,IF(ISNUMBER(Schoonmaaknormen!F79),Schoonmaaknormen!BF79/Schoonmaaknormen!F79,0),"")</f>
        <v/>
      </c>
      <c r="BW79" s="287" t="str">
        <f ca="1">IF(BG79&gt;0,IF(ISNUMBER(Schoonmaaknormen!G79),Schoonmaaknormen!BG79/Schoonmaaknormen!G79,0),"")</f>
        <v/>
      </c>
      <c r="BX79" s="287" t="str">
        <f ca="1">IF(BH79&gt;0,IF(ISNUMBER(Schoonmaaknormen!H79),Schoonmaaknormen!BH79/Schoonmaaknormen!H79,0),"")</f>
        <v/>
      </c>
      <c r="BY79" s="287" t="str">
        <f ca="1">IF(BI79&gt;0,IF(ISNUMBER(Schoonmaaknormen!I79),Schoonmaaknormen!BI79/Schoonmaaknormen!I79,0),"")</f>
        <v/>
      </c>
      <c r="BZ79" s="287" t="str">
        <f ca="1">IF(BJ79&gt;0,IF(ISNUMBER(Schoonmaaknormen!J79),Schoonmaaknormen!BJ79/Schoonmaaknormen!J79,0),"")</f>
        <v/>
      </c>
      <c r="CA79" s="549"/>
      <c r="CB79" s="553"/>
    </row>
    <row r="80" spans="1:80" ht="0.2" customHeight="1" x14ac:dyDescent="0.2">
      <c r="A80" s="172">
        <f ca="1">Ruimtestaat!A80</f>
        <v>2</v>
      </c>
      <c r="B80" s="558"/>
      <c r="C80" s="290">
        <v>4</v>
      </c>
      <c r="D80" s="186"/>
      <c r="E80" s="187"/>
      <c r="F80" s="187"/>
      <c r="G80" s="187"/>
      <c r="H80" s="187"/>
      <c r="I80" s="189"/>
      <c r="J80" s="189"/>
      <c r="K80" s="562"/>
      <c r="L80" s="554"/>
      <c r="M80" s="172" t="b">
        <f>IF(_xlfn.XLOOKUP(BB80,Tabel2[Locatiecode],Tabel2[Type locatie],"",0)="vaccin",TRUE,FALSE)</f>
        <v>1</v>
      </c>
      <c r="BB80" s="291" t="str">
        <f>IF(Ruimtestaat!BC80="","",Ruimtestaat!BC80)</f>
        <v>DHE-FBW</v>
      </c>
      <c r="BC80" s="292">
        <f t="shared" si="2"/>
        <v>4</v>
      </c>
      <c r="BD80" s="293">
        <f ca="1">Ruimtestaat!D80*$BC80</f>
        <v>0</v>
      </c>
      <c r="BE80" s="294">
        <f ca="1">Ruimtestaat!E80*$BC80</f>
        <v>0</v>
      </c>
      <c r="BF80" s="294">
        <f ca="1">Ruimtestaat!F80*$BC80</f>
        <v>0</v>
      </c>
      <c r="BG80" s="294">
        <f ca="1">Ruimtestaat!G80*$BC80</f>
        <v>0</v>
      </c>
      <c r="BH80" s="294">
        <f ca="1">Ruimtestaat!H80*$BC80</f>
        <v>0</v>
      </c>
      <c r="BI80" s="295">
        <f ca="1">Ruimtestaat!I80*$BC80</f>
        <v>0</v>
      </c>
      <c r="BJ80" s="296">
        <f ca="1">Ruimtestaat!J80*$BC80</f>
        <v>0</v>
      </c>
      <c r="BK80" s="554"/>
      <c r="BR80" s="291" t="str">
        <f>IF(Ruimtestaat!BC80="","",Ruimtestaat!BC80)</f>
        <v>DHE-FBW</v>
      </c>
      <c r="BS80" s="292">
        <f t="shared" si="3"/>
        <v>4</v>
      </c>
      <c r="BT80" s="293" t="str">
        <f ca="1">IF(BD80&gt;0,IF(ISNUMBER(Schoonmaaknormen!D80),Schoonmaaknormen!BD80/Schoonmaaknormen!D80,0),"")</f>
        <v/>
      </c>
      <c r="BU80" s="294" t="str">
        <f ca="1">IF(BE80&gt;0,IF(ISNUMBER(Schoonmaaknormen!E80),Schoonmaaknormen!BE80/Schoonmaaknormen!E80,0),"")</f>
        <v/>
      </c>
      <c r="BV80" s="294" t="str">
        <f ca="1">IF(BF80&gt;0,IF(ISNUMBER(Schoonmaaknormen!F80),Schoonmaaknormen!BF80/Schoonmaaknormen!F80,0),"")</f>
        <v/>
      </c>
      <c r="BW80" s="294" t="str">
        <f ca="1">IF(BG80&gt;0,IF(ISNUMBER(Schoonmaaknormen!G80),Schoonmaaknormen!BG80/Schoonmaaknormen!G80,0),"")</f>
        <v/>
      </c>
      <c r="BX80" s="294" t="str">
        <f ca="1">IF(BH80&gt;0,IF(ISNUMBER(Schoonmaaknormen!H80),Schoonmaaknormen!BH80/Schoonmaaknormen!H80,0),"")</f>
        <v/>
      </c>
      <c r="BY80" s="294" t="str">
        <f ca="1">IF(BI80&gt;0,IF(ISNUMBER(Schoonmaaknormen!I80),Schoonmaaknormen!BI80/Schoonmaaknormen!I80,0),"")</f>
        <v/>
      </c>
      <c r="BZ80" s="294" t="str">
        <f ca="1">IF(BJ80&gt;0,IF(ISNUMBER(Schoonmaaknormen!J80),Schoonmaaknormen!BJ80/Schoonmaaknormen!J80,0),"")</f>
        <v/>
      </c>
      <c r="CA80" s="555"/>
      <c r="CB80" s="554"/>
    </row>
    <row r="81" spans="1:80" ht="15" customHeight="1" x14ac:dyDescent="0.2">
      <c r="A81" s="172">
        <f ca="1">Ruimtestaat!A81</f>
        <v>1</v>
      </c>
      <c r="B81" s="556" t="str">
        <f>BB81</f>
        <v>DHE-TSL</v>
      </c>
      <c r="C81" s="298">
        <v>255</v>
      </c>
      <c r="D81" s="299"/>
      <c r="E81" s="300"/>
      <c r="F81" s="300"/>
      <c r="G81" s="300"/>
      <c r="H81" s="300"/>
      <c r="I81" s="302"/>
      <c r="J81" s="302"/>
      <c r="K81" s="559"/>
      <c r="L81" s="551" t="str" cm="1">
        <f t="array" aca="1" ref="L81" ca="1">_xlfn.IFS(A81=2,"",COUNTBLANK(D81:J86)=COUNTIF(Ruimtestaat!D81:J86,"&lt;=0"),BK81/CB81,TRUE,"")</f>
        <v/>
      </c>
      <c r="M81" s="172" t="b">
        <f>IF(_xlfn.XLOOKUP(BB81,Tabel2[Locatiecode],Tabel2[Type locatie],"",0)="vaccin",TRUE,FALSE)</f>
        <v>0</v>
      </c>
      <c r="BB81" s="303" t="str">
        <f>IF(Ruimtestaat!BC81="","",Ruimtestaat!BC81)</f>
        <v>DHE-TSL</v>
      </c>
      <c r="BC81" s="304">
        <f t="shared" si="2"/>
        <v>255</v>
      </c>
      <c r="BD81" s="305">
        <f ca="1">Ruimtestaat!D81*$BC81</f>
        <v>13515</v>
      </c>
      <c r="BE81" s="306">
        <f ca="1">Ruimtestaat!E81*$BC81</f>
        <v>8925</v>
      </c>
      <c r="BF81" s="306">
        <f ca="1">Ruimtestaat!F81*$BC81</f>
        <v>11730</v>
      </c>
      <c r="BG81" s="306">
        <f ca="1">Ruimtestaat!G81*$BC81</f>
        <v>0</v>
      </c>
      <c r="BH81" s="306">
        <f ca="1">Ruimtestaat!H81*$BC81</f>
        <v>382.5</v>
      </c>
      <c r="BI81" s="307">
        <f ca="1">Ruimtestaat!I81*$BC81</f>
        <v>2167.5</v>
      </c>
      <c r="BJ81" s="308">
        <f ca="1">Ruimtestaat!J81*$BC81</f>
        <v>0</v>
      </c>
      <c r="BK81" s="552">
        <f ca="1">SUM(BD81:BJ86)</f>
        <v>36720</v>
      </c>
      <c r="BR81" s="303" t="str">
        <f>IF(Ruimtestaat!BC81="","",Ruimtestaat!BC81)</f>
        <v>DHE-TSL</v>
      </c>
      <c r="BS81" s="304">
        <f t="shared" si="3"/>
        <v>255</v>
      </c>
      <c r="BT81" s="305">
        <f ca="1">IF(BD81&gt;0,IF(ISNUMBER(Schoonmaaknormen!D81),Schoonmaaknormen!BD81/Schoonmaaknormen!D81,0),"")</f>
        <v>0</v>
      </c>
      <c r="BU81" s="306">
        <f ca="1">IF(BE81&gt;0,IF(ISNUMBER(Schoonmaaknormen!E81),Schoonmaaknormen!BE81/Schoonmaaknormen!E81,0),"")</f>
        <v>0</v>
      </c>
      <c r="BV81" s="306">
        <f ca="1">IF(BF81&gt;0,IF(ISNUMBER(Schoonmaaknormen!F81),Schoonmaaknormen!BF81/Schoonmaaknormen!F81,0),"")</f>
        <v>0</v>
      </c>
      <c r="BW81" s="306" t="str">
        <f ca="1">IF(BG81&gt;0,IF(ISNUMBER(Schoonmaaknormen!G81),Schoonmaaknormen!BG81/Schoonmaaknormen!G81,0),"")</f>
        <v/>
      </c>
      <c r="BX81" s="306">
        <f ca="1">IF(BH81&gt;0,IF(ISNUMBER(Schoonmaaknormen!H81),Schoonmaaknormen!BH81/Schoonmaaknormen!H81,0),"")</f>
        <v>0</v>
      </c>
      <c r="BY81" s="306">
        <f ca="1">IF(BI81&gt;0,IF(ISNUMBER(Schoonmaaknormen!I81),Schoonmaaknormen!BI81/Schoonmaaknormen!I81,0),"")</f>
        <v>0</v>
      </c>
      <c r="BZ81" s="306" t="str">
        <f ca="1">IF(BJ81&gt;0,IF(ISNUMBER(Schoonmaaknormen!J81),Schoonmaaknormen!BJ81/Schoonmaaknormen!J81,0),"")</f>
        <v/>
      </c>
      <c r="CA81" s="547" t="str" cm="1">
        <f t="array" ref="CA81">IF(ISNUMBER(K81),IF(SUM(BT81:BZ86)/LARGE(_xlfn._xlws.FILTER(Ruimtestaat!BD:BD,Ruimtestaat!BC:BC=BR81),1)&lt;K81,K81*LARGE(_xlfn._xlws.FILTER(Ruimtestaat!BD:BD,Ruimtestaat!BC:BC=BR81),1)-SUM(BT81:BZ86),0),"")</f>
        <v/>
      </c>
      <c r="CB81" s="551">
        <f ca="1">SUM(BT81:CA86)</f>
        <v>0</v>
      </c>
    </row>
    <row r="82" spans="1:80" ht="0.2" customHeight="1" x14ac:dyDescent="0.2">
      <c r="A82" s="172">
        <f ca="1">Ruimtestaat!A82</f>
        <v>2</v>
      </c>
      <c r="B82" s="557"/>
      <c r="C82" s="11">
        <v>204</v>
      </c>
      <c r="D82" s="309"/>
      <c r="E82" s="310"/>
      <c r="F82" s="310"/>
      <c r="G82" s="310"/>
      <c r="H82" s="310"/>
      <c r="I82" s="312"/>
      <c r="J82" s="312"/>
      <c r="K82" s="560"/>
      <c r="L82" s="552"/>
      <c r="M82" s="172" t="b">
        <f>IF(_xlfn.XLOOKUP(BB82,Tabel2[Locatiecode],Tabel2[Type locatie],"",0)="vaccin",TRUE,FALSE)</f>
        <v>0</v>
      </c>
      <c r="BB82" s="272" t="str">
        <f>IF(Ruimtestaat!BC82="","",Ruimtestaat!BC82)</f>
        <v>DHE-TSL</v>
      </c>
      <c r="BC82" s="273">
        <f t="shared" si="2"/>
        <v>204</v>
      </c>
      <c r="BD82" s="274">
        <f ca="1">Ruimtestaat!D82*$BC82</f>
        <v>0</v>
      </c>
      <c r="BE82" s="275">
        <f ca="1">Ruimtestaat!E82*$BC82</f>
        <v>0</v>
      </c>
      <c r="BF82" s="275">
        <f ca="1">Ruimtestaat!F82*$BC82</f>
        <v>0</v>
      </c>
      <c r="BG82" s="275">
        <f ca="1">Ruimtestaat!G82*$BC82</f>
        <v>0</v>
      </c>
      <c r="BH82" s="275">
        <f ca="1">Ruimtestaat!H82*$BC82</f>
        <v>0</v>
      </c>
      <c r="BI82" s="276">
        <f ca="1">Ruimtestaat!I82*$BC82</f>
        <v>0</v>
      </c>
      <c r="BJ82" s="277">
        <f ca="1">Ruimtestaat!J82*$BC82</f>
        <v>0</v>
      </c>
      <c r="BK82" s="552"/>
      <c r="BR82" s="272" t="str">
        <f>IF(Ruimtestaat!BC82="","",Ruimtestaat!BC82)</f>
        <v>DHE-TSL</v>
      </c>
      <c r="BS82" s="273">
        <f t="shared" si="3"/>
        <v>204</v>
      </c>
      <c r="BT82" s="274" t="str">
        <f ca="1">IF(BD82&gt;0,IF(ISNUMBER(Schoonmaaknormen!D82),Schoonmaaknormen!BD82/Schoonmaaknormen!D82,0),"")</f>
        <v/>
      </c>
      <c r="BU82" s="275" t="str">
        <f ca="1">IF(BE82&gt;0,IF(ISNUMBER(Schoonmaaknormen!E82),Schoonmaaknormen!BE82/Schoonmaaknormen!E82,0),"")</f>
        <v/>
      </c>
      <c r="BV82" s="275" t="str">
        <f ca="1">IF(BF82&gt;0,IF(ISNUMBER(Schoonmaaknormen!F82),Schoonmaaknormen!BF82/Schoonmaaknormen!F82,0),"")</f>
        <v/>
      </c>
      <c r="BW82" s="275" t="str">
        <f ca="1">IF(BG82&gt;0,IF(ISNUMBER(Schoonmaaknormen!G82),Schoonmaaknormen!BG82/Schoonmaaknormen!G82,0),"")</f>
        <v/>
      </c>
      <c r="BX82" s="275" t="str">
        <f ca="1">IF(BH82&gt;0,IF(ISNUMBER(Schoonmaaknormen!H82),Schoonmaaknormen!BH82/Schoonmaaknormen!H82,0),"")</f>
        <v/>
      </c>
      <c r="BY82" s="275" t="str">
        <f ca="1">IF(BI82&gt;0,IF(ISNUMBER(Schoonmaaknormen!I82),Schoonmaaknormen!BI82/Schoonmaaknormen!I82,0),"")</f>
        <v/>
      </c>
      <c r="BZ82" s="275" t="str">
        <f ca="1">IF(BJ82&gt;0,IF(ISNUMBER(Schoonmaaknormen!J82),Schoonmaaknormen!BJ82/Schoonmaaknormen!J82,0),"")</f>
        <v/>
      </c>
      <c r="CA82" s="548"/>
      <c r="CB82" s="552"/>
    </row>
    <row r="83" spans="1:80" ht="0.2" customHeight="1" x14ac:dyDescent="0.2">
      <c r="A83" s="172">
        <f ca="1">Ruimtestaat!A83</f>
        <v>2</v>
      </c>
      <c r="B83" s="557"/>
      <c r="C83" s="11">
        <v>156</v>
      </c>
      <c r="D83" s="309"/>
      <c r="E83" s="310"/>
      <c r="F83" s="310"/>
      <c r="G83" s="310"/>
      <c r="H83" s="310"/>
      <c r="I83" s="312"/>
      <c r="J83" s="312"/>
      <c r="K83" s="560"/>
      <c r="L83" s="552"/>
      <c r="M83" s="172" t="b">
        <f>IF(_xlfn.XLOOKUP(BB83,Tabel2[Locatiecode],Tabel2[Type locatie],"",0)="vaccin",TRUE,FALSE)</f>
        <v>0</v>
      </c>
      <c r="BB83" s="272" t="str">
        <f>IF(Ruimtestaat!BC83="","",Ruimtestaat!BC83)</f>
        <v>DHE-TSL</v>
      </c>
      <c r="BC83" s="273">
        <f t="shared" si="2"/>
        <v>156</v>
      </c>
      <c r="BD83" s="274">
        <f ca="1">Ruimtestaat!D83*$BC83</f>
        <v>0</v>
      </c>
      <c r="BE83" s="275">
        <f ca="1">Ruimtestaat!E83*$BC83</f>
        <v>0</v>
      </c>
      <c r="BF83" s="275">
        <f ca="1">Ruimtestaat!F83*$BC83</f>
        <v>0</v>
      </c>
      <c r="BG83" s="275">
        <f ca="1">Ruimtestaat!G83*$BC83</f>
        <v>0</v>
      </c>
      <c r="BH83" s="275">
        <f ca="1">Ruimtestaat!H83*$BC83</f>
        <v>0</v>
      </c>
      <c r="BI83" s="276">
        <f ca="1">Ruimtestaat!I83*$BC83</f>
        <v>0</v>
      </c>
      <c r="BJ83" s="277">
        <f ca="1">Ruimtestaat!J83*$BC83</f>
        <v>0</v>
      </c>
      <c r="BK83" s="552"/>
      <c r="BR83" s="272" t="str">
        <f>IF(Ruimtestaat!BC83="","",Ruimtestaat!BC83)</f>
        <v>DHE-TSL</v>
      </c>
      <c r="BS83" s="273">
        <f t="shared" si="3"/>
        <v>156</v>
      </c>
      <c r="BT83" s="274" t="str">
        <f ca="1">IF(BD83&gt;0,IF(ISNUMBER(Schoonmaaknormen!D83),Schoonmaaknormen!BD83/Schoonmaaknormen!D83,0),"")</f>
        <v/>
      </c>
      <c r="BU83" s="275" t="str">
        <f ca="1">IF(BE83&gt;0,IF(ISNUMBER(Schoonmaaknormen!E83),Schoonmaaknormen!BE83/Schoonmaaknormen!E83,0),"")</f>
        <v/>
      </c>
      <c r="BV83" s="275" t="str">
        <f ca="1">IF(BF83&gt;0,IF(ISNUMBER(Schoonmaaknormen!F83),Schoonmaaknormen!BF83/Schoonmaaknormen!F83,0),"")</f>
        <v/>
      </c>
      <c r="BW83" s="275" t="str">
        <f ca="1">IF(BG83&gt;0,IF(ISNUMBER(Schoonmaaknormen!G83),Schoonmaaknormen!BG83/Schoonmaaknormen!G83,0),"")</f>
        <v/>
      </c>
      <c r="BX83" s="275" t="str">
        <f ca="1">IF(BH83&gt;0,IF(ISNUMBER(Schoonmaaknormen!H83),Schoonmaaknormen!BH83/Schoonmaaknormen!H83,0),"")</f>
        <v/>
      </c>
      <c r="BY83" s="275" t="str">
        <f ca="1">IF(BI83&gt;0,IF(ISNUMBER(Schoonmaaknormen!I83),Schoonmaaknormen!BI83/Schoonmaaknormen!I83,0),"")</f>
        <v/>
      </c>
      <c r="BZ83" s="275" t="str">
        <f ca="1">IF(BJ83&gt;0,IF(ISNUMBER(Schoonmaaknormen!J83),Schoonmaaknormen!BJ83/Schoonmaaknormen!J83,0),"")</f>
        <v/>
      </c>
      <c r="CA83" s="548"/>
      <c r="CB83" s="552"/>
    </row>
    <row r="84" spans="1:80" ht="0.2" customHeight="1" x14ac:dyDescent="0.2">
      <c r="A84" s="172">
        <f ca="1">Ruimtestaat!A84</f>
        <v>2</v>
      </c>
      <c r="B84" s="557"/>
      <c r="C84" s="11">
        <v>104</v>
      </c>
      <c r="D84" s="309"/>
      <c r="E84" s="310"/>
      <c r="F84" s="310"/>
      <c r="G84" s="310"/>
      <c r="H84" s="310"/>
      <c r="I84" s="312"/>
      <c r="J84" s="312"/>
      <c r="K84" s="561"/>
      <c r="L84" s="553"/>
      <c r="M84" s="172" t="b">
        <f>IF(_xlfn.XLOOKUP(BB84,Tabel2[Locatiecode],Tabel2[Type locatie],"",0)="vaccin",TRUE,FALSE)</f>
        <v>0</v>
      </c>
      <c r="BB84" s="278" t="str">
        <f>IF(Ruimtestaat!BC84="","",Ruimtestaat!BC84)</f>
        <v>DHE-TSL</v>
      </c>
      <c r="BC84" s="279">
        <f t="shared" si="2"/>
        <v>104</v>
      </c>
      <c r="BD84" s="280">
        <f ca="1">Ruimtestaat!D84*$BC84</f>
        <v>0</v>
      </c>
      <c r="BE84" s="281">
        <f ca="1">Ruimtestaat!E84*$BC84</f>
        <v>0</v>
      </c>
      <c r="BF84" s="281">
        <f ca="1">Ruimtestaat!F84*$BC84</f>
        <v>0</v>
      </c>
      <c r="BG84" s="281">
        <f ca="1">Ruimtestaat!G84*$BC84</f>
        <v>0</v>
      </c>
      <c r="BH84" s="281">
        <f ca="1">Ruimtestaat!H84*$BC84</f>
        <v>0</v>
      </c>
      <c r="BI84" s="282">
        <f ca="1">Ruimtestaat!I84*$BC84</f>
        <v>0</v>
      </c>
      <c r="BJ84" s="283">
        <f ca="1">Ruimtestaat!J84*$BC84</f>
        <v>0</v>
      </c>
      <c r="BK84" s="553"/>
      <c r="BR84" s="278" t="str">
        <f>IF(Ruimtestaat!BC84="","",Ruimtestaat!BC84)</f>
        <v>DHE-TSL</v>
      </c>
      <c r="BS84" s="313">
        <f t="shared" si="3"/>
        <v>104</v>
      </c>
      <c r="BT84" s="280" t="str">
        <f ca="1">IF(BD84&gt;0,IF(ISNUMBER(Schoonmaaknormen!D84),Schoonmaaknormen!BD84/Schoonmaaknormen!D84,0),"")</f>
        <v/>
      </c>
      <c r="BU84" s="314" t="str">
        <f ca="1">IF(BE84&gt;0,IF(ISNUMBER(Schoonmaaknormen!E84),Schoonmaaknormen!BE84/Schoonmaaknormen!E84,0),"")</f>
        <v/>
      </c>
      <c r="BV84" s="314" t="str">
        <f ca="1">IF(BF84&gt;0,IF(ISNUMBER(Schoonmaaknormen!F84),Schoonmaaknormen!BF84/Schoonmaaknormen!F84,0),"")</f>
        <v/>
      </c>
      <c r="BW84" s="314" t="str">
        <f ca="1">IF(BG84&gt;0,IF(ISNUMBER(Schoonmaaknormen!G84),Schoonmaaknormen!BG84/Schoonmaaknormen!G84,0),"")</f>
        <v/>
      </c>
      <c r="BX84" s="314" t="str">
        <f ca="1">IF(BH84&gt;0,IF(ISNUMBER(Schoonmaaknormen!H84),Schoonmaaknormen!BH84/Schoonmaaknormen!H84,0),"")</f>
        <v/>
      </c>
      <c r="BY84" s="314" t="str">
        <f ca="1">IF(BI84&gt;0,IF(ISNUMBER(Schoonmaaknormen!I84),Schoonmaaknormen!BI84/Schoonmaaknormen!I84,0),"")</f>
        <v/>
      </c>
      <c r="BZ84" s="314" t="str">
        <f ca="1">IF(BJ84&gt;0,IF(ISNUMBER(Schoonmaaknormen!J84),Schoonmaaknormen!BJ84/Schoonmaaknormen!J84,0),"")</f>
        <v/>
      </c>
      <c r="CA84" s="549"/>
      <c r="CB84" s="553"/>
    </row>
    <row r="85" spans="1:80" ht="0.2" customHeight="1" x14ac:dyDescent="0.2">
      <c r="A85" s="172">
        <f ca="1">Ruimtestaat!A85</f>
        <v>2</v>
      </c>
      <c r="B85" s="557"/>
      <c r="C85" s="11">
        <v>52</v>
      </c>
      <c r="D85" s="309"/>
      <c r="E85" s="310"/>
      <c r="F85" s="310"/>
      <c r="G85" s="310"/>
      <c r="H85" s="310"/>
      <c r="I85" s="312"/>
      <c r="J85" s="312"/>
      <c r="K85" s="561"/>
      <c r="L85" s="553"/>
      <c r="M85" s="172" t="b">
        <f>IF(_xlfn.XLOOKUP(BB85,Tabel2[Locatiecode],Tabel2[Type locatie],"",0)="vaccin",TRUE,FALSE)</f>
        <v>0</v>
      </c>
      <c r="BB85" s="284" t="str">
        <f>IF(Ruimtestaat!BC85="","",Ruimtestaat!BC85)</f>
        <v>DHE-TSL</v>
      </c>
      <c r="BC85" s="285">
        <f t="shared" si="2"/>
        <v>52</v>
      </c>
      <c r="BD85" s="286">
        <f ca="1">Ruimtestaat!D85*$BC85</f>
        <v>0</v>
      </c>
      <c r="BE85" s="287">
        <f ca="1">Ruimtestaat!E85*$BC85</f>
        <v>0</v>
      </c>
      <c r="BF85" s="287">
        <f ca="1">Ruimtestaat!F85*$BC85</f>
        <v>0</v>
      </c>
      <c r="BG85" s="287">
        <f ca="1">Ruimtestaat!G85*$BC85</f>
        <v>0</v>
      </c>
      <c r="BH85" s="287">
        <f ca="1">Ruimtestaat!H85*$BC85</f>
        <v>0</v>
      </c>
      <c r="BI85" s="288">
        <f ca="1">Ruimtestaat!I85*$BC85</f>
        <v>0</v>
      </c>
      <c r="BJ85" s="289">
        <f ca="1">Ruimtestaat!J85*$BC85</f>
        <v>0</v>
      </c>
      <c r="BK85" s="553"/>
      <c r="BR85" s="284" t="str">
        <f>IF(Ruimtestaat!BC85="","",Ruimtestaat!BC85)</f>
        <v>DHE-TSL</v>
      </c>
      <c r="BS85" s="285">
        <f t="shared" si="3"/>
        <v>52</v>
      </c>
      <c r="BT85" s="286" t="str">
        <f ca="1">IF(BD85&gt;0,IF(ISNUMBER(Schoonmaaknormen!D85),Schoonmaaknormen!BD85/Schoonmaaknormen!D85,0),"")</f>
        <v/>
      </c>
      <c r="BU85" s="287" t="str">
        <f ca="1">IF(BE85&gt;0,IF(ISNUMBER(Schoonmaaknormen!E85),Schoonmaaknormen!BE85/Schoonmaaknormen!E85,0),"")</f>
        <v/>
      </c>
      <c r="BV85" s="287" t="str">
        <f ca="1">IF(BF85&gt;0,IF(ISNUMBER(Schoonmaaknormen!F85),Schoonmaaknormen!BF85/Schoonmaaknormen!F85,0),"")</f>
        <v/>
      </c>
      <c r="BW85" s="287" t="str">
        <f ca="1">IF(BG85&gt;0,IF(ISNUMBER(Schoonmaaknormen!G85),Schoonmaaknormen!BG85/Schoonmaaknormen!G85,0),"")</f>
        <v/>
      </c>
      <c r="BX85" s="287" t="str">
        <f ca="1">IF(BH85&gt;0,IF(ISNUMBER(Schoonmaaknormen!H85),Schoonmaaknormen!BH85/Schoonmaaknormen!H85,0),"")</f>
        <v/>
      </c>
      <c r="BY85" s="287" t="str">
        <f ca="1">IF(BI85&gt;0,IF(ISNUMBER(Schoonmaaknormen!I85),Schoonmaaknormen!BI85/Schoonmaaknormen!I85,0),"")</f>
        <v/>
      </c>
      <c r="BZ85" s="287" t="str">
        <f ca="1">IF(BJ85&gt;0,IF(ISNUMBER(Schoonmaaknormen!J85),Schoonmaaknormen!BJ85/Schoonmaaknormen!J85,0),"")</f>
        <v/>
      </c>
      <c r="CA85" s="549"/>
      <c r="CB85" s="553"/>
    </row>
    <row r="86" spans="1:80" ht="0.2" customHeight="1" x14ac:dyDescent="0.2">
      <c r="A86" s="172">
        <f ca="1">Ruimtestaat!A86</f>
        <v>2</v>
      </c>
      <c r="B86" s="558"/>
      <c r="C86" s="290">
        <v>4</v>
      </c>
      <c r="D86" s="186"/>
      <c r="E86" s="187"/>
      <c r="F86" s="187"/>
      <c r="G86" s="187"/>
      <c r="H86" s="187"/>
      <c r="I86" s="189"/>
      <c r="J86" s="189"/>
      <c r="K86" s="562"/>
      <c r="L86" s="554"/>
      <c r="M86" s="172" t="b">
        <f>IF(_xlfn.XLOOKUP(BB86,Tabel2[Locatiecode],Tabel2[Type locatie],"",0)="vaccin",TRUE,FALSE)</f>
        <v>0</v>
      </c>
      <c r="BB86" s="291" t="str">
        <f>IF(Ruimtestaat!BC86="","",Ruimtestaat!BC86)</f>
        <v>DHE-TSL</v>
      </c>
      <c r="BC86" s="292">
        <f t="shared" si="2"/>
        <v>4</v>
      </c>
      <c r="BD86" s="293">
        <f ca="1">Ruimtestaat!D86*$BC86</f>
        <v>0</v>
      </c>
      <c r="BE86" s="294">
        <f ca="1">Ruimtestaat!E86*$BC86</f>
        <v>0</v>
      </c>
      <c r="BF86" s="294">
        <f ca="1">Ruimtestaat!F86*$BC86</f>
        <v>0</v>
      </c>
      <c r="BG86" s="294">
        <f ca="1">Ruimtestaat!G86*$BC86</f>
        <v>0</v>
      </c>
      <c r="BH86" s="294">
        <f ca="1">Ruimtestaat!H86*$BC86</f>
        <v>0</v>
      </c>
      <c r="BI86" s="295">
        <f ca="1">Ruimtestaat!I86*$BC86</f>
        <v>0</v>
      </c>
      <c r="BJ86" s="296">
        <f ca="1">Ruimtestaat!J86*$BC86</f>
        <v>0</v>
      </c>
      <c r="BK86" s="554"/>
      <c r="BR86" s="291" t="str">
        <f>IF(Ruimtestaat!BC86="","",Ruimtestaat!BC86)</f>
        <v>DHE-TSL</v>
      </c>
      <c r="BS86" s="292">
        <f t="shared" si="3"/>
        <v>4</v>
      </c>
      <c r="BT86" s="293" t="str">
        <f ca="1">IF(BD86&gt;0,IF(ISNUMBER(Schoonmaaknormen!D86),Schoonmaaknormen!BD86/Schoonmaaknormen!D86,0),"")</f>
        <v/>
      </c>
      <c r="BU86" s="294" t="str">
        <f ca="1">IF(BE86&gt;0,IF(ISNUMBER(Schoonmaaknormen!E86),Schoonmaaknormen!BE86/Schoonmaaknormen!E86,0),"")</f>
        <v/>
      </c>
      <c r="BV86" s="294" t="str">
        <f ca="1">IF(BF86&gt;0,IF(ISNUMBER(Schoonmaaknormen!F86),Schoonmaaknormen!BF86/Schoonmaaknormen!F86,0),"")</f>
        <v/>
      </c>
      <c r="BW86" s="294" t="str">
        <f ca="1">IF(BG86&gt;0,IF(ISNUMBER(Schoonmaaknormen!G86),Schoonmaaknormen!BG86/Schoonmaaknormen!G86,0),"")</f>
        <v/>
      </c>
      <c r="BX86" s="294" t="str">
        <f ca="1">IF(BH86&gt;0,IF(ISNUMBER(Schoonmaaknormen!H86),Schoonmaaknormen!BH86/Schoonmaaknormen!H86,0),"")</f>
        <v/>
      </c>
      <c r="BY86" s="294" t="str">
        <f ca="1">IF(BI86&gt;0,IF(ISNUMBER(Schoonmaaknormen!I86),Schoonmaaknormen!BI86/Schoonmaaknormen!I86,0),"")</f>
        <v/>
      </c>
      <c r="BZ86" s="294" t="str">
        <f ca="1">IF(BJ86&gt;0,IF(ISNUMBER(Schoonmaaknormen!J86),Schoonmaaknormen!BJ86/Schoonmaaknormen!J86,0),"")</f>
        <v/>
      </c>
      <c r="CA86" s="555"/>
      <c r="CB86" s="554"/>
    </row>
    <row r="87" spans="1:80" ht="15" customHeight="1" x14ac:dyDescent="0.2">
      <c r="A87" s="172">
        <f ca="1">Ruimtestaat!A87</f>
        <v>1</v>
      </c>
      <c r="B87" s="556" t="str">
        <f>BB87</f>
        <v>ENK-WWL</v>
      </c>
      <c r="C87" s="298">
        <v>255</v>
      </c>
      <c r="D87" s="299"/>
      <c r="E87" s="300"/>
      <c r="F87" s="300"/>
      <c r="G87" s="300"/>
      <c r="H87" s="300"/>
      <c r="I87" s="302"/>
      <c r="J87" s="302"/>
      <c r="K87" s="559"/>
      <c r="L87" s="551" t="str" cm="1">
        <f t="array" aca="1" ref="L87" ca="1">_xlfn.IFS(A87=2,"",COUNTBLANK(D87:J92)=COUNTIF(Ruimtestaat!D87:J92,"&lt;=0"),BK87/CB87,TRUE,"")</f>
        <v/>
      </c>
      <c r="M87" s="172" t="b">
        <f>IF(_xlfn.XLOOKUP(BB87,Tabel2[Locatiecode],Tabel2[Type locatie],"",0)="vaccin",TRUE,FALSE)</f>
        <v>0</v>
      </c>
      <c r="BB87" s="303" t="str">
        <f>IF(Ruimtestaat!BC87="","",Ruimtestaat!BC87)</f>
        <v>ENK-WWL</v>
      </c>
      <c r="BC87" s="304">
        <f t="shared" si="2"/>
        <v>255</v>
      </c>
      <c r="BD87" s="305">
        <f ca="1">Ruimtestaat!D87*$BC87</f>
        <v>18232.5</v>
      </c>
      <c r="BE87" s="306">
        <f ca="1">Ruimtestaat!E87*$BC87</f>
        <v>4335</v>
      </c>
      <c r="BF87" s="306">
        <f ca="1">Ruimtestaat!F87*$BC87</f>
        <v>20119.5</v>
      </c>
      <c r="BG87" s="306">
        <f ca="1">Ruimtestaat!G87*$BC87</f>
        <v>0</v>
      </c>
      <c r="BH87" s="306">
        <f ca="1">Ruimtestaat!H87*$BC87</f>
        <v>1402.5</v>
      </c>
      <c r="BI87" s="307">
        <f ca="1">Ruimtestaat!I87*$BC87</f>
        <v>510</v>
      </c>
      <c r="BJ87" s="308">
        <f ca="1">Ruimtestaat!J87*$BC87</f>
        <v>0</v>
      </c>
      <c r="BK87" s="552">
        <f ca="1">SUM(BD87:BJ92)</f>
        <v>44599.5</v>
      </c>
      <c r="BR87" s="303" t="str">
        <f>IF(Ruimtestaat!BC87="","",Ruimtestaat!BC87)</f>
        <v>ENK-WWL</v>
      </c>
      <c r="BS87" s="304">
        <f t="shared" si="3"/>
        <v>255</v>
      </c>
      <c r="BT87" s="305">
        <f ca="1">IF(BD87&gt;0,IF(ISNUMBER(Schoonmaaknormen!D87),Schoonmaaknormen!BD87/Schoonmaaknormen!D87,0),"")</f>
        <v>0</v>
      </c>
      <c r="BU87" s="306">
        <f ca="1">IF(BE87&gt;0,IF(ISNUMBER(Schoonmaaknormen!E87),Schoonmaaknormen!BE87/Schoonmaaknormen!E87,0),"")</f>
        <v>0</v>
      </c>
      <c r="BV87" s="306">
        <f ca="1">IF(BF87&gt;0,IF(ISNUMBER(Schoonmaaknormen!F87),Schoonmaaknormen!BF87/Schoonmaaknormen!F87,0),"")</f>
        <v>0</v>
      </c>
      <c r="BW87" s="306" t="str">
        <f ca="1">IF(BG87&gt;0,IF(ISNUMBER(Schoonmaaknormen!G87),Schoonmaaknormen!BG87/Schoonmaaknormen!G87,0),"")</f>
        <v/>
      </c>
      <c r="BX87" s="306">
        <f ca="1">IF(BH87&gt;0,IF(ISNUMBER(Schoonmaaknormen!H87),Schoonmaaknormen!BH87/Schoonmaaknormen!H87,0),"")</f>
        <v>0</v>
      </c>
      <c r="BY87" s="306">
        <f ca="1">IF(BI87&gt;0,IF(ISNUMBER(Schoonmaaknormen!I87),Schoonmaaknormen!BI87/Schoonmaaknormen!I87,0),"")</f>
        <v>0</v>
      </c>
      <c r="BZ87" s="306" t="str">
        <f ca="1">IF(BJ87&gt;0,IF(ISNUMBER(Schoonmaaknormen!J87),Schoonmaaknormen!BJ87/Schoonmaaknormen!J87,0),"")</f>
        <v/>
      </c>
      <c r="CA87" s="547" t="str" cm="1">
        <f t="array" ref="CA87">IF(ISNUMBER(K87),IF(SUM(BT87:BZ92)/LARGE(_xlfn._xlws.FILTER(Ruimtestaat!BD:BD,Ruimtestaat!BC:BC=BR87),1)&lt;K87,K87*LARGE(_xlfn._xlws.FILTER(Ruimtestaat!BD:BD,Ruimtestaat!BC:BC=BR87),1)-SUM(BT87:BZ92),0),"")</f>
        <v/>
      </c>
      <c r="CB87" s="551">
        <f ca="1">SUM(BT87:CA92)</f>
        <v>0</v>
      </c>
    </row>
    <row r="88" spans="1:80" ht="0.2" customHeight="1" x14ac:dyDescent="0.2">
      <c r="A88" s="172">
        <f ca="1">Ruimtestaat!A88</f>
        <v>2</v>
      </c>
      <c r="B88" s="557"/>
      <c r="C88" s="11">
        <v>204</v>
      </c>
      <c r="D88" s="309"/>
      <c r="E88" s="310"/>
      <c r="F88" s="310"/>
      <c r="G88" s="310"/>
      <c r="H88" s="310"/>
      <c r="I88" s="312"/>
      <c r="J88" s="312"/>
      <c r="K88" s="560"/>
      <c r="L88" s="552"/>
      <c r="M88" s="172" t="b">
        <f>IF(_xlfn.XLOOKUP(BB88,Tabel2[Locatiecode],Tabel2[Type locatie],"",0)="vaccin",TRUE,FALSE)</f>
        <v>0</v>
      </c>
      <c r="BB88" s="272" t="str">
        <f>IF(Ruimtestaat!BC88="","",Ruimtestaat!BC88)</f>
        <v>ENK-WWL</v>
      </c>
      <c r="BC88" s="273">
        <f t="shared" si="2"/>
        <v>204</v>
      </c>
      <c r="BD88" s="274">
        <f ca="1">Ruimtestaat!D88*$BC88</f>
        <v>0</v>
      </c>
      <c r="BE88" s="275">
        <f ca="1">Ruimtestaat!E88*$BC88</f>
        <v>0</v>
      </c>
      <c r="BF88" s="275">
        <f ca="1">Ruimtestaat!F88*$BC88</f>
        <v>0</v>
      </c>
      <c r="BG88" s="275">
        <f ca="1">Ruimtestaat!G88*$BC88</f>
        <v>0</v>
      </c>
      <c r="BH88" s="275">
        <f ca="1">Ruimtestaat!H88*$BC88</f>
        <v>0</v>
      </c>
      <c r="BI88" s="276">
        <f ca="1">Ruimtestaat!I88*$BC88</f>
        <v>0</v>
      </c>
      <c r="BJ88" s="277">
        <f ca="1">Ruimtestaat!J88*$BC88</f>
        <v>0</v>
      </c>
      <c r="BK88" s="552"/>
      <c r="BR88" s="272" t="str">
        <f>IF(Ruimtestaat!BC88="","",Ruimtestaat!BC88)</f>
        <v>ENK-WWL</v>
      </c>
      <c r="BS88" s="273">
        <f t="shared" si="3"/>
        <v>204</v>
      </c>
      <c r="BT88" s="274" t="str">
        <f ca="1">IF(BD88&gt;0,IF(ISNUMBER(Schoonmaaknormen!D88),Schoonmaaknormen!BD88/Schoonmaaknormen!D88,0),"")</f>
        <v/>
      </c>
      <c r="BU88" s="275" t="str">
        <f ca="1">IF(BE88&gt;0,IF(ISNUMBER(Schoonmaaknormen!E88),Schoonmaaknormen!BE88/Schoonmaaknormen!E88,0),"")</f>
        <v/>
      </c>
      <c r="BV88" s="275" t="str">
        <f ca="1">IF(BF88&gt;0,IF(ISNUMBER(Schoonmaaknormen!F88),Schoonmaaknormen!BF88/Schoonmaaknormen!F88,0),"")</f>
        <v/>
      </c>
      <c r="BW88" s="275" t="str">
        <f ca="1">IF(BG88&gt;0,IF(ISNUMBER(Schoonmaaknormen!G88),Schoonmaaknormen!BG88/Schoonmaaknormen!G88,0),"")</f>
        <v/>
      </c>
      <c r="BX88" s="275" t="str">
        <f ca="1">IF(BH88&gt;0,IF(ISNUMBER(Schoonmaaknormen!H88),Schoonmaaknormen!BH88/Schoonmaaknormen!H88,0),"")</f>
        <v/>
      </c>
      <c r="BY88" s="275" t="str">
        <f ca="1">IF(BI88&gt;0,IF(ISNUMBER(Schoonmaaknormen!I88),Schoonmaaknormen!BI88/Schoonmaaknormen!I88,0),"")</f>
        <v/>
      </c>
      <c r="BZ88" s="275" t="str">
        <f ca="1">IF(BJ88&gt;0,IF(ISNUMBER(Schoonmaaknormen!J88),Schoonmaaknormen!BJ88/Schoonmaaknormen!J88,0),"")</f>
        <v/>
      </c>
      <c r="CA88" s="548"/>
      <c r="CB88" s="552"/>
    </row>
    <row r="89" spans="1:80" ht="0.2" customHeight="1" x14ac:dyDescent="0.2">
      <c r="A89" s="172">
        <f ca="1">Ruimtestaat!A89</f>
        <v>2</v>
      </c>
      <c r="B89" s="557"/>
      <c r="C89" s="11">
        <v>156</v>
      </c>
      <c r="D89" s="309"/>
      <c r="E89" s="310"/>
      <c r="F89" s="310"/>
      <c r="G89" s="310"/>
      <c r="H89" s="310"/>
      <c r="I89" s="312"/>
      <c r="J89" s="312"/>
      <c r="K89" s="560"/>
      <c r="L89" s="552"/>
      <c r="M89" s="172" t="b">
        <f>IF(_xlfn.XLOOKUP(BB89,Tabel2[Locatiecode],Tabel2[Type locatie],"",0)="vaccin",TRUE,FALSE)</f>
        <v>0</v>
      </c>
      <c r="BB89" s="272" t="str">
        <f>IF(Ruimtestaat!BC89="","",Ruimtestaat!BC89)</f>
        <v>ENK-WWL</v>
      </c>
      <c r="BC89" s="273">
        <f t="shared" si="2"/>
        <v>156</v>
      </c>
      <c r="BD89" s="274">
        <f ca="1">Ruimtestaat!D89*$BC89</f>
        <v>0</v>
      </c>
      <c r="BE89" s="275">
        <f ca="1">Ruimtestaat!E89*$BC89</f>
        <v>0</v>
      </c>
      <c r="BF89" s="275">
        <f ca="1">Ruimtestaat!F89*$BC89</f>
        <v>0</v>
      </c>
      <c r="BG89" s="275">
        <f ca="1">Ruimtestaat!G89*$BC89</f>
        <v>0</v>
      </c>
      <c r="BH89" s="275">
        <f ca="1">Ruimtestaat!H89*$BC89</f>
        <v>0</v>
      </c>
      <c r="BI89" s="276">
        <f ca="1">Ruimtestaat!I89*$BC89</f>
        <v>0</v>
      </c>
      <c r="BJ89" s="277">
        <f ca="1">Ruimtestaat!J89*$BC89</f>
        <v>0</v>
      </c>
      <c r="BK89" s="552"/>
      <c r="BR89" s="272" t="str">
        <f>IF(Ruimtestaat!BC89="","",Ruimtestaat!BC89)</f>
        <v>ENK-WWL</v>
      </c>
      <c r="BS89" s="273">
        <f t="shared" si="3"/>
        <v>156</v>
      </c>
      <c r="BT89" s="274" t="str">
        <f ca="1">IF(BD89&gt;0,IF(ISNUMBER(Schoonmaaknormen!D89),Schoonmaaknormen!BD89/Schoonmaaknormen!D89,0),"")</f>
        <v/>
      </c>
      <c r="BU89" s="275" t="str">
        <f ca="1">IF(BE89&gt;0,IF(ISNUMBER(Schoonmaaknormen!E89),Schoonmaaknormen!BE89/Schoonmaaknormen!E89,0),"")</f>
        <v/>
      </c>
      <c r="BV89" s="275" t="str">
        <f ca="1">IF(BF89&gt;0,IF(ISNUMBER(Schoonmaaknormen!F89),Schoonmaaknormen!BF89/Schoonmaaknormen!F89,0),"")</f>
        <v/>
      </c>
      <c r="BW89" s="275" t="str">
        <f ca="1">IF(BG89&gt;0,IF(ISNUMBER(Schoonmaaknormen!G89),Schoonmaaknormen!BG89/Schoonmaaknormen!G89,0),"")</f>
        <v/>
      </c>
      <c r="BX89" s="275" t="str">
        <f ca="1">IF(BH89&gt;0,IF(ISNUMBER(Schoonmaaknormen!H89),Schoonmaaknormen!BH89/Schoonmaaknormen!H89,0),"")</f>
        <v/>
      </c>
      <c r="BY89" s="275" t="str">
        <f ca="1">IF(BI89&gt;0,IF(ISNUMBER(Schoonmaaknormen!I89),Schoonmaaknormen!BI89/Schoonmaaknormen!I89,0),"")</f>
        <v/>
      </c>
      <c r="BZ89" s="275" t="str">
        <f ca="1">IF(BJ89&gt;0,IF(ISNUMBER(Schoonmaaknormen!J89),Schoonmaaknormen!BJ89/Schoonmaaknormen!J89,0),"")</f>
        <v/>
      </c>
      <c r="CA89" s="548"/>
      <c r="CB89" s="552"/>
    </row>
    <row r="90" spans="1:80" ht="0.2" customHeight="1" x14ac:dyDescent="0.2">
      <c r="A90" s="172">
        <f ca="1">Ruimtestaat!A90</f>
        <v>2</v>
      </c>
      <c r="B90" s="557"/>
      <c r="C90" s="11">
        <v>104</v>
      </c>
      <c r="D90" s="309"/>
      <c r="E90" s="310"/>
      <c r="F90" s="310"/>
      <c r="G90" s="310"/>
      <c r="H90" s="310"/>
      <c r="I90" s="312"/>
      <c r="J90" s="312"/>
      <c r="K90" s="561"/>
      <c r="L90" s="553"/>
      <c r="M90" s="172" t="b">
        <f>IF(_xlfn.XLOOKUP(BB90,Tabel2[Locatiecode],Tabel2[Type locatie],"",0)="vaccin",TRUE,FALSE)</f>
        <v>0</v>
      </c>
      <c r="BB90" s="278" t="str">
        <f>IF(Ruimtestaat!BC90="","",Ruimtestaat!BC90)</f>
        <v>ENK-WWL</v>
      </c>
      <c r="BC90" s="279">
        <f t="shared" si="2"/>
        <v>104</v>
      </c>
      <c r="BD90" s="280">
        <f ca="1">Ruimtestaat!D90*$BC90</f>
        <v>0</v>
      </c>
      <c r="BE90" s="281">
        <f ca="1">Ruimtestaat!E90*$BC90</f>
        <v>0</v>
      </c>
      <c r="BF90" s="281">
        <f ca="1">Ruimtestaat!F90*$BC90</f>
        <v>0</v>
      </c>
      <c r="BG90" s="281">
        <f ca="1">Ruimtestaat!G90*$BC90</f>
        <v>0</v>
      </c>
      <c r="BH90" s="281">
        <f ca="1">Ruimtestaat!H90*$BC90</f>
        <v>0</v>
      </c>
      <c r="BI90" s="282">
        <f ca="1">Ruimtestaat!I90*$BC90</f>
        <v>0</v>
      </c>
      <c r="BJ90" s="283">
        <f ca="1">Ruimtestaat!J90*$BC90</f>
        <v>0</v>
      </c>
      <c r="BK90" s="553"/>
      <c r="BR90" s="278" t="str">
        <f>IF(Ruimtestaat!BC90="","",Ruimtestaat!BC90)</f>
        <v>ENK-WWL</v>
      </c>
      <c r="BS90" s="313">
        <f t="shared" si="3"/>
        <v>104</v>
      </c>
      <c r="BT90" s="280" t="str">
        <f ca="1">IF(BD90&gt;0,IF(ISNUMBER(Schoonmaaknormen!D90),Schoonmaaknormen!BD90/Schoonmaaknormen!D90,0),"")</f>
        <v/>
      </c>
      <c r="BU90" s="314" t="str">
        <f ca="1">IF(BE90&gt;0,IF(ISNUMBER(Schoonmaaknormen!E90),Schoonmaaknormen!BE90/Schoonmaaknormen!E90,0),"")</f>
        <v/>
      </c>
      <c r="BV90" s="314" t="str">
        <f ca="1">IF(BF90&gt;0,IF(ISNUMBER(Schoonmaaknormen!F90),Schoonmaaknormen!BF90/Schoonmaaknormen!F90,0),"")</f>
        <v/>
      </c>
      <c r="BW90" s="314" t="str">
        <f ca="1">IF(BG90&gt;0,IF(ISNUMBER(Schoonmaaknormen!G90),Schoonmaaknormen!BG90/Schoonmaaknormen!G90,0),"")</f>
        <v/>
      </c>
      <c r="BX90" s="314" t="str">
        <f ca="1">IF(BH90&gt;0,IF(ISNUMBER(Schoonmaaknormen!H90),Schoonmaaknormen!BH90/Schoonmaaknormen!H90,0),"")</f>
        <v/>
      </c>
      <c r="BY90" s="314" t="str">
        <f ca="1">IF(BI90&gt;0,IF(ISNUMBER(Schoonmaaknormen!I90),Schoonmaaknormen!BI90/Schoonmaaknormen!I90,0),"")</f>
        <v/>
      </c>
      <c r="BZ90" s="314" t="str">
        <f ca="1">IF(BJ90&gt;0,IF(ISNUMBER(Schoonmaaknormen!J90),Schoonmaaknormen!BJ90/Schoonmaaknormen!J90,0),"")</f>
        <v/>
      </c>
      <c r="CA90" s="549"/>
      <c r="CB90" s="553"/>
    </row>
    <row r="91" spans="1:80" ht="0.2" customHeight="1" x14ac:dyDescent="0.2">
      <c r="A91" s="172">
        <f ca="1">Ruimtestaat!A91</f>
        <v>2</v>
      </c>
      <c r="B91" s="557"/>
      <c r="C91" s="11">
        <v>52</v>
      </c>
      <c r="D91" s="309"/>
      <c r="E91" s="310"/>
      <c r="F91" s="310"/>
      <c r="G91" s="310"/>
      <c r="H91" s="310"/>
      <c r="I91" s="312"/>
      <c r="J91" s="312"/>
      <c r="K91" s="561"/>
      <c r="L91" s="553"/>
      <c r="M91" s="172" t="b">
        <f>IF(_xlfn.XLOOKUP(BB91,Tabel2[Locatiecode],Tabel2[Type locatie],"",0)="vaccin",TRUE,FALSE)</f>
        <v>0</v>
      </c>
      <c r="BB91" s="284" t="str">
        <f>IF(Ruimtestaat!BC91="","",Ruimtestaat!BC91)</f>
        <v>ENK-WWL</v>
      </c>
      <c r="BC91" s="285">
        <f t="shared" si="2"/>
        <v>52</v>
      </c>
      <c r="BD91" s="286">
        <f ca="1">Ruimtestaat!D91*$BC91</f>
        <v>0</v>
      </c>
      <c r="BE91" s="287">
        <f ca="1">Ruimtestaat!E91*$BC91</f>
        <v>0</v>
      </c>
      <c r="BF91" s="287">
        <f ca="1">Ruimtestaat!F91*$BC91</f>
        <v>0</v>
      </c>
      <c r="BG91" s="287">
        <f ca="1">Ruimtestaat!G91*$BC91</f>
        <v>0</v>
      </c>
      <c r="BH91" s="287">
        <f ca="1">Ruimtestaat!H91*$BC91</f>
        <v>0</v>
      </c>
      <c r="BI91" s="288">
        <f ca="1">Ruimtestaat!I91*$BC91</f>
        <v>0</v>
      </c>
      <c r="BJ91" s="289">
        <f ca="1">Ruimtestaat!J91*$BC91</f>
        <v>0</v>
      </c>
      <c r="BK91" s="553"/>
      <c r="BR91" s="284" t="str">
        <f>IF(Ruimtestaat!BC91="","",Ruimtestaat!BC91)</f>
        <v>ENK-WWL</v>
      </c>
      <c r="BS91" s="285">
        <f t="shared" si="3"/>
        <v>52</v>
      </c>
      <c r="BT91" s="286" t="str">
        <f ca="1">IF(BD91&gt;0,IF(ISNUMBER(Schoonmaaknormen!D91),Schoonmaaknormen!BD91/Schoonmaaknormen!D91,0),"")</f>
        <v/>
      </c>
      <c r="BU91" s="287" t="str">
        <f ca="1">IF(BE91&gt;0,IF(ISNUMBER(Schoonmaaknormen!E91),Schoonmaaknormen!BE91/Schoonmaaknormen!E91,0),"")</f>
        <v/>
      </c>
      <c r="BV91" s="287" t="str">
        <f ca="1">IF(BF91&gt;0,IF(ISNUMBER(Schoonmaaknormen!F91),Schoonmaaknormen!BF91/Schoonmaaknormen!F91,0),"")</f>
        <v/>
      </c>
      <c r="BW91" s="287" t="str">
        <f ca="1">IF(BG91&gt;0,IF(ISNUMBER(Schoonmaaknormen!G91),Schoonmaaknormen!BG91/Schoonmaaknormen!G91,0),"")</f>
        <v/>
      </c>
      <c r="BX91" s="287" t="str">
        <f ca="1">IF(BH91&gt;0,IF(ISNUMBER(Schoonmaaknormen!H91),Schoonmaaknormen!BH91/Schoonmaaknormen!H91,0),"")</f>
        <v/>
      </c>
      <c r="BY91" s="287" t="str">
        <f ca="1">IF(BI91&gt;0,IF(ISNUMBER(Schoonmaaknormen!I91),Schoonmaaknormen!BI91/Schoonmaaknormen!I91,0),"")</f>
        <v/>
      </c>
      <c r="BZ91" s="287" t="str">
        <f ca="1">IF(BJ91&gt;0,IF(ISNUMBER(Schoonmaaknormen!J91),Schoonmaaknormen!BJ91/Schoonmaaknormen!J91,0),"")</f>
        <v/>
      </c>
      <c r="CA91" s="549"/>
      <c r="CB91" s="553"/>
    </row>
    <row r="92" spans="1:80" ht="0.2" customHeight="1" x14ac:dyDescent="0.2">
      <c r="A92" s="172">
        <f ca="1">Ruimtestaat!A92</f>
        <v>2</v>
      </c>
      <c r="B92" s="558"/>
      <c r="C92" s="290">
        <v>4</v>
      </c>
      <c r="D92" s="186"/>
      <c r="E92" s="187"/>
      <c r="F92" s="187"/>
      <c r="G92" s="187"/>
      <c r="H92" s="187"/>
      <c r="I92" s="189"/>
      <c r="J92" s="189"/>
      <c r="K92" s="562"/>
      <c r="L92" s="554"/>
      <c r="M92" s="172" t="b">
        <f>IF(_xlfn.XLOOKUP(BB92,Tabel2[Locatiecode],Tabel2[Type locatie],"",0)="vaccin",TRUE,FALSE)</f>
        <v>0</v>
      </c>
      <c r="BB92" s="291" t="str">
        <f>IF(Ruimtestaat!BC92="","",Ruimtestaat!BC92)</f>
        <v>ENK-WWL</v>
      </c>
      <c r="BC92" s="292">
        <f t="shared" si="2"/>
        <v>4</v>
      </c>
      <c r="BD92" s="293">
        <f ca="1">Ruimtestaat!D92*$BC92</f>
        <v>0</v>
      </c>
      <c r="BE92" s="294">
        <f ca="1">Ruimtestaat!E92*$BC92</f>
        <v>0</v>
      </c>
      <c r="BF92" s="294">
        <f ca="1">Ruimtestaat!F92*$BC92</f>
        <v>0</v>
      </c>
      <c r="BG92" s="294">
        <f ca="1">Ruimtestaat!G92*$BC92</f>
        <v>0</v>
      </c>
      <c r="BH92" s="294">
        <f ca="1">Ruimtestaat!H92*$BC92</f>
        <v>0</v>
      </c>
      <c r="BI92" s="295">
        <f ca="1">Ruimtestaat!I92*$BC92</f>
        <v>0</v>
      </c>
      <c r="BJ92" s="296">
        <f ca="1">Ruimtestaat!J92*$BC92</f>
        <v>0</v>
      </c>
      <c r="BK92" s="554"/>
      <c r="BR92" s="291" t="str">
        <f>IF(Ruimtestaat!BC92="","",Ruimtestaat!BC92)</f>
        <v>ENK-WWL</v>
      </c>
      <c r="BS92" s="292">
        <f t="shared" si="3"/>
        <v>4</v>
      </c>
      <c r="BT92" s="293" t="str">
        <f ca="1">IF(BD92&gt;0,IF(ISNUMBER(Schoonmaaknormen!D92),Schoonmaaknormen!BD92/Schoonmaaknormen!D92,0),"")</f>
        <v/>
      </c>
      <c r="BU92" s="294" t="str">
        <f ca="1">IF(BE92&gt;0,IF(ISNUMBER(Schoonmaaknormen!E92),Schoonmaaknormen!BE92/Schoonmaaknormen!E92,0),"")</f>
        <v/>
      </c>
      <c r="BV92" s="294" t="str">
        <f ca="1">IF(BF92&gt;0,IF(ISNUMBER(Schoonmaaknormen!F92),Schoonmaaknormen!BF92/Schoonmaaknormen!F92,0),"")</f>
        <v/>
      </c>
      <c r="BW92" s="294" t="str">
        <f ca="1">IF(BG92&gt;0,IF(ISNUMBER(Schoonmaaknormen!G92),Schoonmaaknormen!BG92/Schoonmaaknormen!G92,0),"")</f>
        <v/>
      </c>
      <c r="BX92" s="294" t="str">
        <f ca="1">IF(BH92&gt;0,IF(ISNUMBER(Schoonmaaknormen!H92),Schoonmaaknormen!BH92/Schoonmaaknormen!H92,0),"")</f>
        <v/>
      </c>
      <c r="BY92" s="294" t="str">
        <f ca="1">IF(BI92&gt;0,IF(ISNUMBER(Schoonmaaknormen!I92),Schoonmaaknormen!BI92/Schoonmaaknormen!I92,0),"")</f>
        <v/>
      </c>
      <c r="BZ92" s="294" t="str">
        <f ca="1">IF(BJ92&gt;0,IF(ISNUMBER(Schoonmaaknormen!J92),Schoonmaaknormen!BJ92/Schoonmaaknormen!J92,0),"")</f>
        <v/>
      </c>
      <c r="CA92" s="555"/>
      <c r="CB92" s="554"/>
    </row>
    <row r="93" spans="1:80" ht="15" customHeight="1" x14ac:dyDescent="0.2">
      <c r="A93" s="172">
        <f ca="1">Ruimtestaat!A93</f>
        <v>1</v>
      </c>
      <c r="B93" s="556" t="str">
        <f>BB93</f>
        <v>GRF-JPL</v>
      </c>
      <c r="C93" s="298">
        <v>255</v>
      </c>
      <c r="D93" s="299"/>
      <c r="E93" s="300"/>
      <c r="F93" s="300"/>
      <c r="G93" s="300"/>
      <c r="H93" s="300"/>
      <c r="I93" s="302"/>
      <c r="J93" s="302"/>
      <c r="K93" s="559"/>
      <c r="L93" s="551" t="str" cm="1">
        <f t="array" aca="1" ref="L93" ca="1">_xlfn.IFS(A93=2,"",COUNTBLANK(D93:J98)=COUNTIF(Ruimtestaat!D93:J98,"&lt;=0"),BK93/CB93,TRUE,"")</f>
        <v/>
      </c>
      <c r="M93" s="172" t="b">
        <f>IF(_xlfn.XLOOKUP(BB93,Tabel2[Locatiecode],Tabel2[Type locatie],"",0)="vaccin",TRUE,FALSE)</f>
        <v>0</v>
      </c>
      <c r="BB93" s="303" t="str">
        <f>IF(Ruimtestaat!BC93="","",Ruimtestaat!BC93)</f>
        <v>GRF-JPL</v>
      </c>
      <c r="BC93" s="304">
        <f t="shared" si="2"/>
        <v>255</v>
      </c>
      <c r="BD93" s="305">
        <f ca="1">Ruimtestaat!D93*$BC93</f>
        <v>10429.5</v>
      </c>
      <c r="BE93" s="306">
        <f ca="1">Ruimtestaat!E93*$BC93</f>
        <v>0</v>
      </c>
      <c r="BF93" s="306">
        <f ca="1">Ruimtestaat!F93*$BC93</f>
        <v>8976</v>
      </c>
      <c r="BG93" s="306">
        <f ca="1">Ruimtestaat!G93*$BC93</f>
        <v>0</v>
      </c>
      <c r="BH93" s="306">
        <f ca="1">Ruimtestaat!H93*$BC93</f>
        <v>382.5</v>
      </c>
      <c r="BI93" s="307">
        <f ca="1">Ruimtestaat!I93*$BC93</f>
        <v>3340.5000000000005</v>
      </c>
      <c r="BJ93" s="308">
        <f ca="1">Ruimtestaat!J93*$BC93</f>
        <v>0</v>
      </c>
      <c r="BK93" s="552">
        <f ca="1">SUM(BD93:BJ98)</f>
        <v>23128.5</v>
      </c>
      <c r="BR93" s="303" t="str">
        <f>IF(Ruimtestaat!BC93="","",Ruimtestaat!BC93)</f>
        <v>GRF-JPL</v>
      </c>
      <c r="BS93" s="304">
        <f t="shared" si="3"/>
        <v>255</v>
      </c>
      <c r="BT93" s="305">
        <f ca="1">IF(BD93&gt;0,IF(ISNUMBER(Schoonmaaknormen!D93),Schoonmaaknormen!BD93/Schoonmaaknormen!D93,0),"")</f>
        <v>0</v>
      </c>
      <c r="BU93" s="306" t="str">
        <f ca="1">IF(BE93&gt;0,IF(ISNUMBER(Schoonmaaknormen!E93),Schoonmaaknormen!BE93/Schoonmaaknormen!E93,0),"")</f>
        <v/>
      </c>
      <c r="BV93" s="306">
        <f ca="1">IF(BF93&gt;0,IF(ISNUMBER(Schoonmaaknormen!F93),Schoonmaaknormen!BF93/Schoonmaaknormen!F93,0),"")</f>
        <v>0</v>
      </c>
      <c r="BW93" s="306" t="str">
        <f ca="1">IF(BG93&gt;0,IF(ISNUMBER(Schoonmaaknormen!G93),Schoonmaaknormen!BG93/Schoonmaaknormen!G93,0),"")</f>
        <v/>
      </c>
      <c r="BX93" s="306">
        <f ca="1">IF(BH93&gt;0,IF(ISNUMBER(Schoonmaaknormen!H93),Schoonmaaknormen!BH93/Schoonmaaknormen!H93,0),"")</f>
        <v>0</v>
      </c>
      <c r="BY93" s="306">
        <f ca="1">IF(BI93&gt;0,IF(ISNUMBER(Schoonmaaknormen!I93),Schoonmaaknormen!BI93/Schoonmaaknormen!I93,0),"")</f>
        <v>0</v>
      </c>
      <c r="BZ93" s="306" t="str">
        <f ca="1">IF(BJ93&gt;0,IF(ISNUMBER(Schoonmaaknormen!J93),Schoonmaaknormen!BJ93/Schoonmaaknormen!J93,0),"")</f>
        <v/>
      </c>
      <c r="CA93" s="547" t="str" cm="1">
        <f t="array" ref="CA93">IF(ISNUMBER(K93),IF(SUM(BT93:BZ98)/LARGE(_xlfn._xlws.FILTER(Ruimtestaat!BD:BD,Ruimtestaat!BC:BC=BR93),1)&lt;K93,K93*LARGE(_xlfn._xlws.FILTER(Ruimtestaat!BD:BD,Ruimtestaat!BC:BC=BR93),1)-SUM(BT93:BZ98),0),"")</f>
        <v/>
      </c>
      <c r="CB93" s="551">
        <f ca="1">SUM(BT93:CA98)</f>
        <v>0</v>
      </c>
    </row>
    <row r="94" spans="1:80" ht="0.2" customHeight="1" x14ac:dyDescent="0.2">
      <c r="A94" s="172">
        <f ca="1">Ruimtestaat!A94</f>
        <v>0</v>
      </c>
      <c r="B94" s="557"/>
      <c r="C94" s="11">
        <v>204</v>
      </c>
      <c r="D94" s="309"/>
      <c r="E94" s="310"/>
      <c r="F94" s="310"/>
      <c r="G94" s="310"/>
      <c r="H94" s="310"/>
      <c r="I94" s="312"/>
      <c r="J94" s="312"/>
      <c r="K94" s="560"/>
      <c r="L94" s="552"/>
      <c r="M94" s="172" t="b">
        <f>IF(_xlfn.XLOOKUP(BB94,Tabel2[Locatiecode],Tabel2[Type locatie],"",0)="vaccin",TRUE,FALSE)</f>
        <v>0</v>
      </c>
      <c r="BB94" s="272" t="str">
        <f>IF(Ruimtestaat!BC94="","",Ruimtestaat!BC94)</f>
        <v>GRF-JPL</v>
      </c>
      <c r="BC94" s="273">
        <f t="shared" si="2"/>
        <v>204</v>
      </c>
      <c r="BD94" s="274">
        <f ca="1">Ruimtestaat!D94*$BC94</f>
        <v>0</v>
      </c>
      <c r="BE94" s="275">
        <f ca="1">Ruimtestaat!E94*$BC94</f>
        <v>0</v>
      </c>
      <c r="BF94" s="275">
        <f ca="1">Ruimtestaat!F94*$BC94</f>
        <v>0</v>
      </c>
      <c r="BG94" s="275">
        <f ca="1">Ruimtestaat!G94*$BC94</f>
        <v>0</v>
      </c>
      <c r="BH94" s="275">
        <f ca="1">Ruimtestaat!H94*$BC94</f>
        <v>0</v>
      </c>
      <c r="BI94" s="276">
        <f ca="1">Ruimtestaat!I94*$BC94</f>
        <v>0</v>
      </c>
      <c r="BJ94" s="277">
        <f ca="1">Ruimtestaat!J94*$BC94</f>
        <v>0</v>
      </c>
      <c r="BK94" s="552"/>
      <c r="BR94" s="272" t="str">
        <f>IF(Ruimtestaat!BC94="","",Ruimtestaat!BC94)</f>
        <v>GRF-JPL</v>
      </c>
      <c r="BS94" s="273">
        <f t="shared" si="3"/>
        <v>204</v>
      </c>
      <c r="BT94" s="274" t="str">
        <f ca="1">IF(BD94&gt;0,IF(ISNUMBER(Schoonmaaknormen!D94),Schoonmaaknormen!BD94/Schoonmaaknormen!D94,0),"")</f>
        <v/>
      </c>
      <c r="BU94" s="275" t="str">
        <f ca="1">IF(BE94&gt;0,IF(ISNUMBER(Schoonmaaknormen!E94),Schoonmaaknormen!BE94/Schoonmaaknormen!E94,0),"")</f>
        <v/>
      </c>
      <c r="BV94" s="275" t="str">
        <f ca="1">IF(BF94&gt;0,IF(ISNUMBER(Schoonmaaknormen!F94),Schoonmaaknormen!BF94/Schoonmaaknormen!F94,0),"")</f>
        <v/>
      </c>
      <c r="BW94" s="275" t="str">
        <f ca="1">IF(BG94&gt;0,IF(ISNUMBER(Schoonmaaknormen!G94),Schoonmaaknormen!BG94/Schoonmaaknormen!G94,0),"")</f>
        <v/>
      </c>
      <c r="BX94" s="275" t="str">
        <f ca="1">IF(BH94&gt;0,IF(ISNUMBER(Schoonmaaknormen!H94),Schoonmaaknormen!BH94/Schoonmaaknormen!H94,0),"")</f>
        <v/>
      </c>
      <c r="BY94" s="275" t="str">
        <f ca="1">IF(BI94&gt;0,IF(ISNUMBER(Schoonmaaknormen!I94),Schoonmaaknormen!BI94/Schoonmaaknormen!I94,0),"")</f>
        <v/>
      </c>
      <c r="BZ94" s="275" t="str">
        <f ca="1">IF(BJ94&gt;0,IF(ISNUMBER(Schoonmaaknormen!J94),Schoonmaaknormen!BJ94/Schoonmaaknormen!J94,0),"")</f>
        <v/>
      </c>
      <c r="CA94" s="548"/>
      <c r="CB94" s="552"/>
    </row>
    <row r="95" spans="1:80" ht="0.2" customHeight="1" x14ac:dyDescent="0.2">
      <c r="A95" s="172">
        <f ca="1">Ruimtestaat!A95</f>
        <v>0</v>
      </c>
      <c r="B95" s="557"/>
      <c r="C95" s="11">
        <v>156</v>
      </c>
      <c r="D95" s="309"/>
      <c r="E95" s="310"/>
      <c r="F95" s="310"/>
      <c r="G95" s="310"/>
      <c r="H95" s="310"/>
      <c r="I95" s="312"/>
      <c r="J95" s="312"/>
      <c r="K95" s="560"/>
      <c r="L95" s="552"/>
      <c r="M95" s="172" t="b">
        <f>IF(_xlfn.XLOOKUP(BB95,Tabel2[Locatiecode],Tabel2[Type locatie],"",0)="vaccin",TRUE,FALSE)</f>
        <v>0</v>
      </c>
      <c r="BB95" s="272" t="str">
        <f>IF(Ruimtestaat!BC95="","",Ruimtestaat!BC95)</f>
        <v>GRF-JPL</v>
      </c>
      <c r="BC95" s="273">
        <f t="shared" si="2"/>
        <v>156</v>
      </c>
      <c r="BD95" s="274">
        <f ca="1">Ruimtestaat!D95*$BC95</f>
        <v>0</v>
      </c>
      <c r="BE95" s="275">
        <f ca="1">Ruimtestaat!E95*$BC95</f>
        <v>0</v>
      </c>
      <c r="BF95" s="275">
        <f ca="1">Ruimtestaat!F95*$BC95</f>
        <v>0</v>
      </c>
      <c r="BG95" s="275">
        <f ca="1">Ruimtestaat!G95*$BC95</f>
        <v>0</v>
      </c>
      <c r="BH95" s="275">
        <f ca="1">Ruimtestaat!H95*$BC95</f>
        <v>0</v>
      </c>
      <c r="BI95" s="276">
        <f ca="1">Ruimtestaat!I95*$BC95</f>
        <v>0</v>
      </c>
      <c r="BJ95" s="277">
        <f ca="1">Ruimtestaat!J95*$BC95</f>
        <v>0</v>
      </c>
      <c r="BK95" s="552"/>
      <c r="BR95" s="272" t="str">
        <f>IF(Ruimtestaat!BC95="","",Ruimtestaat!BC95)</f>
        <v>GRF-JPL</v>
      </c>
      <c r="BS95" s="273">
        <f t="shared" si="3"/>
        <v>156</v>
      </c>
      <c r="BT95" s="274" t="str">
        <f ca="1">IF(BD95&gt;0,IF(ISNUMBER(Schoonmaaknormen!D95),Schoonmaaknormen!BD95/Schoonmaaknormen!D95,0),"")</f>
        <v/>
      </c>
      <c r="BU95" s="275" t="str">
        <f ca="1">IF(BE95&gt;0,IF(ISNUMBER(Schoonmaaknormen!E95),Schoonmaaknormen!BE95/Schoonmaaknormen!E95,0),"")</f>
        <v/>
      </c>
      <c r="BV95" s="275" t="str">
        <f ca="1">IF(BF95&gt;0,IF(ISNUMBER(Schoonmaaknormen!F95),Schoonmaaknormen!BF95/Schoonmaaknormen!F95,0),"")</f>
        <v/>
      </c>
      <c r="BW95" s="275" t="str">
        <f ca="1">IF(BG95&gt;0,IF(ISNUMBER(Schoonmaaknormen!G95),Schoonmaaknormen!BG95/Schoonmaaknormen!G95,0),"")</f>
        <v/>
      </c>
      <c r="BX95" s="275" t="str">
        <f ca="1">IF(BH95&gt;0,IF(ISNUMBER(Schoonmaaknormen!H95),Schoonmaaknormen!BH95/Schoonmaaknormen!H95,0),"")</f>
        <v/>
      </c>
      <c r="BY95" s="275" t="str">
        <f ca="1">IF(BI95&gt;0,IF(ISNUMBER(Schoonmaaknormen!I95),Schoonmaaknormen!BI95/Schoonmaaknormen!I95,0),"")</f>
        <v/>
      </c>
      <c r="BZ95" s="275" t="str">
        <f ca="1">IF(BJ95&gt;0,IF(ISNUMBER(Schoonmaaknormen!J95),Schoonmaaknormen!BJ95/Schoonmaaknormen!J95,0),"")</f>
        <v/>
      </c>
      <c r="CA95" s="548"/>
      <c r="CB95" s="552"/>
    </row>
    <row r="96" spans="1:80" ht="0.2" customHeight="1" x14ac:dyDescent="0.2">
      <c r="A96" s="172">
        <f ca="1">Ruimtestaat!A96</f>
        <v>0</v>
      </c>
      <c r="B96" s="557"/>
      <c r="C96" s="11">
        <v>104</v>
      </c>
      <c r="D96" s="309"/>
      <c r="E96" s="310"/>
      <c r="F96" s="310"/>
      <c r="G96" s="310"/>
      <c r="H96" s="310"/>
      <c r="I96" s="312"/>
      <c r="J96" s="312"/>
      <c r="K96" s="561"/>
      <c r="L96" s="553"/>
      <c r="M96" s="172" t="b">
        <f>IF(_xlfn.XLOOKUP(BB96,Tabel2[Locatiecode],Tabel2[Type locatie],"",0)="vaccin",TRUE,FALSE)</f>
        <v>0</v>
      </c>
      <c r="BB96" s="278" t="str">
        <f>IF(Ruimtestaat!BC96="","",Ruimtestaat!BC96)</f>
        <v>GRF-JPL</v>
      </c>
      <c r="BC96" s="279">
        <f t="shared" si="2"/>
        <v>104</v>
      </c>
      <c r="BD96" s="280">
        <f ca="1">Ruimtestaat!D96*$BC96</f>
        <v>0</v>
      </c>
      <c r="BE96" s="281">
        <f ca="1">Ruimtestaat!E96*$BC96</f>
        <v>0</v>
      </c>
      <c r="BF96" s="281">
        <f ca="1">Ruimtestaat!F96*$BC96</f>
        <v>0</v>
      </c>
      <c r="BG96" s="281">
        <f ca="1">Ruimtestaat!G96*$BC96</f>
        <v>0</v>
      </c>
      <c r="BH96" s="281">
        <f ca="1">Ruimtestaat!H96*$BC96</f>
        <v>0</v>
      </c>
      <c r="BI96" s="282">
        <f ca="1">Ruimtestaat!I96*$BC96</f>
        <v>0</v>
      </c>
      <c r="BJ96" s="283">
        <f ca="1">Ruimtestaat!J96*$BC96</f>
        <v>0</v>
      </c>
      <c r="BK96" s="553"/>
      <c r="BR96" s="278" t="str">
        <f>IF(Ruimtestaat!BC96="","",Ruimtestaat!BC96)</f>
        <v>GRF-JPL</v>
      </c>
      <c r="BS96" s="313">
        <f t="shared" si="3"/>
        <v>104</v>
      </c>
      <c r="BT96" s="280" t="str">
        <f ca="1">IF(BD96&gt;0,IF(ISNUMBER(Schoonmaaknormen!D96),Schoonmaaknormen!BD96/Schoonmaaknormen!D96,0),"")</f>
        <v/>
      </c>
      <c r="BU96" s="314" t="str">
        <f ca="1">IF(BE96&gt;0,IF(ISNUMBER(Schoonmaaknormen!E96),Schoonmaaknormen!BE96/Schoonmaaknormen!E96,0),"")</f>
        <v/>
      </c>
      <c r="BV96" s="314" t="str">
        <f ca="1">IF(BF96&gt;0,IF(ISNUMBER(Schoonmaaknormen!F96),Schoonmaaknormen!BF96/Schoonmaaknormen!F96,0),"")</f>
        <v/>
      </c>
      <c r="BW96" s="314" t="str">
        <f ca="1">IF(BG96&gt;0,IF(ISNUMBER(Schoonmaaknormen!G96),Schoonmaaknormen!BG96/Schoonmaaknormen!G96,0),"")</f>
        <v/>
      </c>
      <c r="BX96" s="314" t="str">
        <f ca="1">IF(BH96&gt;0,IF(ISNUMBER(Schoonmaaknormen!H96),Schoonmaaknormen!BH96/Schoonmaaknormen!H96,0),"")</f>
        <v/>
      </c>
      <c r="BY96" s="314" t="str">
        <f ca="1">IF(BI96&gt;0,IF(ISNUMBER(Schoonmaaknormen!I96),Schoonmaaknormen!BI96/Schoonmaaknormen!I96,0),"")</f>
        <v/>
      </c>
      <c r="BZ96" s="314" t="str">
        <f ca="1">IF(BJ96&gt;0,IF(ISNUMBER(Schoonmaaknormen!J96),Schoonmaaknormen!BJ96/Schoonmaaknormen!J96,0),"")</f>
        <v/>
      </c>
      <c r="CA96" s="549"/>
      <c r="CB96" s="553"/>
    </row>
    <row r="97" spans="1:80" ht="0.2" customHeight="1" x14ac:dyDescent="0.2">
      <c r="A97" s="172">
        <f ca="1">Ruimtestaat!A97</f>
        <v>0</v>
      </c>
      <c r="B97" s="557"/>
      <c r="C97" s="11">
        <v>52</v>
      </c>
      <c r="D97" s="309"/>
      <c r="E97" s="310"/>
      <c r="F97" s="310"/>
      <c r="G97" s="310"/>
      <c r="H97" s="310"/>
      <c r="I97" s="312"/>
      <c r="J97" s="312"/>
      <c r="K97" s="561"/>
      <c r="L97" s="553"/>
      <c r="M97" s="172" t="b">
        <f>IF(_xlfn.XLOOKUP(BB97,Tabel2[Locatiecode],Tabel2[Type locatie],"",0)="vaccin",TRUE,FALSE)</f>
        <v>0</v>
      </c>
      <c r="BB97" s="284" t="str">
        <f>IF(Ruimtestaat!BC97="","",Ruimtestaat!BC97)</f>
        <v>GRF-JPL</v>
      </c>
      <c r="BC97" s="285">
        <f t="shared" si="2"/>
        <v>52</v>
      </c>
      <c r="BD97" s="286">
        <f ca="1">Ruimtestaat!D97*$BC97</f>
        <v>0</v>
      </c>
      <c r="BE97" s="287">
        <f ca="1">Ruimtestaat!E97*$BC97</f>
        <v>0</v>
      </c>
      <c r="BF97" s="287">
        <f ca="1">Ruimtestaat!F97*$BC97</f>
        <v>0</v>
      </c>
      <c r="BG97" s="287">
        <f ca="1">Ruimtestaat!G97*$BC97</f>
        <v>0</v>
      </c>
      <c r="BH97" s="287">
        <f ca="1">Ruimtestaat!H97*$BC97</f>
        <v>0</v>
      </c>
      <c r="BI97" s="288">
        <f ca="1">Ruimtestaat!I97*$BC97</f>
        <v>0</v>
      </c>
      <c r="BJ97" s="289">
        <f ca="1">Ruimtestaat!J97*$BC97</f>
        <v>0</v>
      </c>
      <c r="BK97" s="553"/>
      <c r="BR97" s="284" t="str">
        <f>IF(Ruimtestaat!BC97="","",Ruimtestaat!BC97)</f>
        <v>GRF-JPL</v>
      </c>
      <c r="BS97" s="285">
        <f t="shared" si="3"/>
        <v>52</v>
      </c>
      <c r="BT97" s="286" t="str">
        <f ca="1">IF(BD97&gt;0,IF(ISNUMBER(Schoonmaaknormen!D97),Schoonmaaknormen!BD97/Schoonmaaknormen!D97,0),"")</f>
        <v/>
      </c>
      <c r="BU97" s="287" t="str">
        <f ca="1">IF(BE97&gt;0,IF(ISNUMBER(Schoonmaaknormen!E97),Schoonmaaknormen!BE97/Schoonmaaknormen!E97,0),"")</f>
        <v/>
      </c>
      <c r="BV97" s="287" t="str">
        <f ca="1">IF(BF97&gt;0,IF(ISNUMBER(Schoonmaaknormen!F97),Schoonmaaknormen!BF97/Schoonmaaknormen!F97,0),"")</f>
        <v/>
      </c>
      <c r="BW97" s="287" t="str">
        <f ca="1">IF(BG97&gt;0,IF(ISNUMBER(Schoonmaaknormen!G97),Schoonmaaknormen!BG97/Schoonmaaknormen!G97,0),"")</f>
        <v/>
      </c>
      <c r="BX97" s="287" t="str">
        <f ca="1">IF(BH97&gt;0,IF(ISNUMBER(Schoonmaaknormen!H97),Schoonmaaknormen!BH97/Schoonmaaknormen!H97,0),"")</f>
        <v/>
      </c>
      <c r="BY97" s="287" t="str">
        <f ca="1">IF(BI97&gt;0,IF(ISNUMBER(Schoonmaaknormen!I97),Schoonmaaknormen!BI97/Schoonmaaknormen!I97,0),"")</f>
        <v/>
      </c>
      <c r="BZ97" s="287" t="str">
        <f ca="1">IF(BJ97&gt;0,IF(ISNUMBER(Schoonmaaknormen!J97),Schoonmaaknormen!BJ97/Schoonmaaknormen!J97,0),"")</f>
        <v/>
      </c>
      <c r="CA97" s="549"/>
      <c r="CB97" s="553"/>
    </row>
    <row r="98" spans="1:80" ht="0.2" customHeight="1" x14ac:dyDescent="0.2">
      <c r="A98" s="172">
        <f ca="1">Ruimtestaat!A98</f>
        <v>2</v>
      </c>
      <c r="B98" s="558"/>
      <c r="C98" s="290">
        <v>4</v>
      </c>
      <c r="D98" s="186"/>
      <c r="E98" s="187"/>
      <c r="F98" s="187"/>
      <c r="G98" s="187"/>
      <c r="H98" s="187"/>
      <c r="I98" s="189"/>
      <c r="J98" s="189"/>
      <c r="K98" s="562"/>
      <c r="L98" s="554"/>
      <c r="M98" s="172" t="b">
        <f>IF(_xlfn.XLOOKUP(BB98,Tabel2[Locatiecode],Tabel2[Type locatie],"",0)="vaccin",TRUE,FALSE)</f>
        <v>0</v>
      </c>
      <c r="BB98" s="291" t="str">
        <f>IF(Ruimtestaat!BC98="","",Ruimtestaat!BC98)</f>
        <v>GRF-JPL</v>
      </c>
      <c r="BC98" s="292">
        <f t="shared" si="2"/>
        <v>4</v>
      </c>
      <c r="BD98" s="293">
        <f ca="1">Ruimtestaat!D98*$BC98</f>
        <v>0</v>
      </c>
      <c r="BE98" s="294">
        <f ca="1">Ruimtestaat!E98*$BC98</f>
        <v>0</v>
      </c>
      <c r="BF98" s="294">
        <f ca="1">Ruimtestaat!F98*$BC98</f>
        <v>0</v>
      </c>
      <c r="BG98" s="294">
        <f ca="1">Ruimtestaat!G98*$BC98</f>
        <v>0</v>
      </c>
      <c r="BH98" s="294">
        <f ca="1">Ruimtestaat!H98*$BC98</f>
        <v>0</v>
      </c>
      <c r="BI98" s="295">
        <f ca="1">Ruimtestaat!I98*$BC98</f>
        <v>0</v>
      </c>
      <c r="BJ98" s="296">
        <f ca="1">Ruimtestaat!J98*$BC98</f>
        <v>0</v>
      </c>
      <c r="BK98" s="554"/>
      <c r="BR98" s="291" t="str">
        <f>IF(Ruimtestaat!BC98="","",Ruimtestaat!BC98)</f>
        <v>GRF-JPL</v>
      </c>
      <c r="BS98" s="292">
        <f t="shared" si="3"/>
        <v>4</v>
      </c>
      <c r="BT98" s="293" t="str">
        <f ca="1">IF(BD98&gt;0,IF(ISNUMBER(Schoonmaaknormen!D98),Schoonmaaknormen!BD98/Schoonmaaknormen!D98,0),"")</f>
        <v/>
      </c>
      <c r="BU98" s="294" t="str">
        <f ca="1">IF(BE98&gt;0,IF(ISNUMBER(Schoonmaaknormen!E98),Schoonmaaknormen!BE98/Schoonmaaknormen!E98,0),"")</f>
        <v/>
      </c>
      <c r="BV98" s="294" t="str">
        <f ca="1">IF(BF98&gt;0,IF(ISNUMBER(Schoonmaaknormen!F98),Schoonmaaknormen!BF98/Schoonmaaknormen!F98,0),"")</f>
        <v/>
      </c>
      <c r="BW98" s="294" t="str">
        <f ca="1">IF(BG98&gt;0,IF(ISNUMBER(Schoonmaaknormen!G98),Schoonmaaknormen!BG98/Schoonmaaknormen!G98,0),"")</f>
        <v/>
      </c>
      <c r="BX98" s="294" t="str">
        <f ca="1">IF(BH98&gt;0,IF(ISNUMBER(Schoonmaaknormen!H98),Schoonmaaknormen!BH98/Schoonmaaknormen!H98,0),"")</f>
        <v/>
      </c>
      <c r="BY98" s="294" t="str">
        <f ca="1">IF(BI98&gt;0,IF(ISNUMBER(Schoonmaaknormen!I98),Schoonmaaknormen!BI98/Schoonmaaknormen!I98,0),"")</f>
        <v/>
      </c>
      <c r="BZ98" s="294" t="str">
        <f ca="1">IF(BJ98&gt;0,IF(ISNUMBER(Schoonmaaknormen!J98),Schoonmaaknormen!BJ98/Schoonmaaknormen!J98,0),"")</f>
        <v/>
      </c>
      <c r="CA98" s="555"/>
      <c r="CB98" s="554"/>
    </row>
    <row r="99" spans="1:80" ht="15" customHeight="1" x14ac:dyDescent="0.2">
      <c r="A99" s="172">
        <f ca="1">Ruimtestaat!A99</f>
        <v>1</v>
      </c>
      <c r="B99" s="556" t="str">
        <f>BB99</f>
        <v>HHW-PRH</v>
      </c>
      <c r="C99" s="298">
        <v>255</v>
      </c>
      <c r="D99" s="299"/>
      <c r="E99" s="300"/>
      <c r="F99" s="300"/>
      <c r="G99" s="300"/>
      <c r="H99" s="300"/>
      <c r="I99" s="302"/>
      <c r="J99" s="302"/>
      <c r="K99" s="559"/>
      <c r="L99" s="551" t="str" cm="1">
        <f t="array" aca="1" ref="L99" ca="1">_xlfn.IFS(A99=2,"",COUNTBLANK(D99:J104)=COUNTIF(Ruimtestaat!D99:J104,"&lt;=0"),BK99/CB99,TRUE,"")</f>
        <v/>
      </c>
      <c r="M99" s="172" t="b">
        <f>IF(_xlfn.XLOOKUP(BB99,Tabel2[Locatiecode],Tabel2[Type locatie],"",0)="vaccin",TRUE,FALSE)</f>
        <v>0</v>
      </c>
      <c r="BB99" s="303" t="str">
        <f>IF(Ruimtestaat!BC99="","",Ruimtestaat!BC99)</f>
        <v>HHW-PRH</v>
      </c>
      <c r="BC99" s="304">
        <f t="shared" si="2"/>
        <v>255</v>
      </c>
      <c r="BD99" s="305">
        <f ca="1">Ruimtestaat!D99*$BC99</f>
        <v>22593</v>
      </c>
      <c r="BE99" s="306">
        <f ca="1">Ruimtestaat!E99*$BC99</f>
        <v>7343.9999999999991</v>
      </c>
      <c r="BF99" s="306">
        <f ca="1">Ruimtestaat!F99*$BC99</f>
        <v>44625</v>
      </c>
      <c r="BG99" s="306">
        <f ca="1">Ruimtestaat!G99*$BC99</f>
        <v>0</v>
      </c>
      <c r="BH99" s="306">
        <f ca="1">Ruimtestaat!H99*$BC99</f>
        <v>2907</v>
      </c>
      <c r="BI99" s="307">
        <f ca="1">Ruimtestaat!I99*$BC99</f>
        <v>12469.5</v>
      </c>
      <c r="BJ99" s="308">
        <f ca="1">Ruimtestaat!J99*$BC99</f>
        <v>0</v>
      </c>
      <c r="BK99" s="552">
        <f ca="1">SUM(BD99:BJ104)</f>
        <v>89938.5</v>
      </c>
      <c r="BR99" s="303" t="str">
        <f>IF(Ruimtestaat!BC99="","",Ruimtestaat!BC99)</f>
        <v>HHW-PRH</v>
      </c>
      <c r="BS99" s="304">
        <f t="shared" si="3"/>
        <v>255</v>
      </c>
      <c r="BT99" s="305">
        <f ca="1">IF(BD99&gt;0,IF(ISNUMBER(Schoonmaaknormen!D99),Schoonmaaknormen!BD99/Schoonmaaknormen!D99,0),"")</f>
        <v>0</v>
      </c>
      <c r="BU99" s="306">
        <f ca="1">IF(BE99&gt;0,IF(ISNUMBER(Schoonmaaknormen!E99),Schoonmaaknormen!BE99/Schoonmaaknormen!E99,0),"")</f>
        <v>0</v>
      </c>
      <c r="BV99" s="306">
        <f ca="1">IF(BF99&gt;0,IF(ISNUMBER(Schoonmaaknormen!F99),Schoonmaaknormen!BF99/Schoonmaaknormen!F99,0),"")</f>
        <v>0</v>
      </c>
      <c r="BW99" s="306" t="str">
        <f ca="1">IF(BG99&gt;0,IF(ISNUMBER(Schoonmaaknormen!G99),Schoonmaaknormen!BG99/Schoonmaaknormen!G99,0),"")</f>
        <v/>
      </c>
      <c r="BX99" s="306">
        <f ca="1">IF(BH99&gt;0,IF(ISNUMBER(Schoonmaaknormen!H99),Schoonmaaknormen!BH99/Schoonmaaknormen!H99,0),"")</f>
        <v>0</v>
      </c>
      <c r="BY99" s="306">
        <f ca="1">IF(BI99&gt;0,IF(ISNUMBER(Schoonmaaknormen!I99),Schoonmaaknormen!BI99/Schoonmaaknormen!I99,0),"")</f>
        <v>0</v>
      </c>
      <c r="BZ99" s="306" t="str">
        <f ca="1">IF(BJ99&gt;0,IF(ISNUMBER(Schoonmaaknormen!J99),Schoonmaaknormen!BJ99/Schoonmaaknormen!J99,0),"")</f>
        <v/>
      </c>
      <c r="CA99" s="547" t="str" cm="1">
        <f t="array" ref="CA99">IF(ISNUMBER(K99),IF(SUM(BT99:BZ104)/LARGE(_xlfn._xlws.FILTER(Ruimtestaat!BD:BD,Ruimtestaat!BC:BC=BR99),1)&lt;K99,K99*LARGE(_xlfn._xlws.FILTER(Ruimtestaat!BD:BD,Ruimtestaat!BC:BC=BR99),1)-SUM(BT99:BZ104),0),"")</f>
        <v/>
      </c>
      <c r="CB99" s="551">
        <f ca="1">SUM(BT99:CA104)</f>
        <v>0</v>
      </c>
    </row>
    <row r="100" spans="1:80" ht="0.2" customHeight="1" x14ac:dyDescent="0.2">
      <c r="A100" s="172">
        <f ca="1">Ruimtestaat!A100</f>
        <v>2</v>
      </c>
      <c r="B100" s="557"/>
      <c r="C100" s="11">
        <v>204</v>
      </c>
      <c r="D100" s="309"/>
      <c r="E100" s="310"/>
      <c r="F100" s="310"/>
      <c r="G100" s="310"/>
      <c r="H100" s="310"/>
      <c r="I100" s="312"/>
      <c r="J100" s="312"/>
      <c r="K100" s="560"/>
      <c r="L100" s="552"/>
      <c r="M100" s="172" t="b">
        <f>IF(_xlfn.XLOOKUP(BB100,Tabel2[Locatiecode],Tabel2[Type locatie],"",0)="vaccin",TRUE,FALSE)</f>
        <v>0</v>
      </c>
      <c r="BB100" s="272" t="str">
        <f>IF(Ruimtestaat!BC100="","",Ruimtestaat!BC100)</f>
        <v>HHW-PRH</v>
      </c>
      <c r="BC100" s="273">
        <f t="shared" si="2"/>
        <v>204</v>
      </c>
      <c r="BD100" s="274">
        <f ca="1">Ruimtestaat!D100*$BC100</f>
        <v>0</v>
      </c>
      <c r="BE100" s="275">
        <f ca="1">Ruimtestaat!E100*$BC100</f>
        <v>0</v>
      </c>
      <c r="BF100" s="275">
        <f ca="1">Ruimtestaat!F100*$BC100</f>
        <v>0</v>
      </c>
      <c r="BG100" s="275">
        <f ca="1">Ruimtestaat!G100*$BC100</f>
        <v>0</v>
      </c>
      <c r="BH100" s="275">
        <f ca="1">Ruimtestaat!H100*$BC100</f>
        <v>0</v>
      </c>
      <c r="BI100" s="276">
        <f ca="1">Ruimtestaat!I100*$BC100</f>
        <v>0</v>
      </c>
      <c r="BJ100" s="277">
        <f ca="1">Ruimtestaat!J100*$BC100</f>
        <v>0</v>
      </c>
      <c r="BK100" s="552"/>
      <c r="BR100" s="272" t="str">
        <f>IF(Ruimtestaat!BC100="","",Ruimtestaat!BC100)</f>
        <v>HHW-PRH</v>
      </c>
      <c r="BS100" s="273">
        <f t="shared" si="3"/>
        <v>204</v>
      </c>
      <c r="BT100" s="274" t="str">
        <f ca="1">IF(BD100&gt;0,IF(ISNUMBER(Schoonmaaknormen!D100),Schoonmaaknormen!BD100/Schoonmaaknormen!D100,0),"")</f>
        <v/>
      </c>
      <c r="BU100" s="275" t="str">
        <f ca="1">IF(BE100&gt;0,IF(ISNUMBER(Schoonmaaknormen!E100),Schoonmaaknormen!BE100/Schoonmaaknormen!E100,0),"")</f>
        <v/>
      </c>
      <c r="BV100" s="275" t="str">
        <f ca="1">IF(BF100&gt;0,IF(ISNUMBER(Schoonmaaknormen!F100),Schoonmaaknormen!BF100/Schoonmaaknormen!F100,0),"")</f>
        <v/>
      </c>
      <c r="BW100" s="275" t="str">
        <f ca="1">IF(BG100&gt;0,IF(ISNUMBER(Schoonmaaknormen!G100),Schoonmaaknormen!BG100/Schoonmaaknormen!G100,0),"")</f>
        <v/>
      </c>
      <c r="BX100" s="275" t="str">
        <f ca="1">IF(BH100&gt;0,IF(ISNUMBER(Schoonmaaknormen!H100),Schoonmaaknormen!BH100/Schoonmaaknormen!H100,0),"")</f>
        <v/>
      </c>
      <c r="BY100" s="275" t="str">
        <f ca="1">IF(BI100&gt;0,IF(ISNUMBER(Schoonmaaknormen!I100),Schoonmaaknormen!BI100/Schoonmaaknormen!I100,0),"")</f>
        <v/>
      </c>
      <c r="BZ100" s="275" t="str">
        <f ca="1">IF(BJ100&gt;0,IF(ISNUMBER(Schoonmaaknormen!J100),Schoonmaaknormen!BJ100/Schoonmaaknormen!J100,0),"")</f>
        <v/>
      </c>
      <c r="CA100" s="548"/>
      <c r="CB100" s="552"/>
    </row>
    <row r="101" spans="1:80" ht="0.2" customHeight="1" x14ac:dyDescent="0.2">
      <c r="A101" s="172">
        <f ca="1">Ruimtestaat!A101</f>
        <v>2</v>
      </c>
      <c r="B101" s="557"/>
      <c r="C101" s="11">
        <v>156</v>
      </c>
      <c r="D101" s="309"/>
      <c r="E101" s="310"/>
      <c r="F101" s="310"/>
      <c r="G101" s="310"/>
      <c r="H101" s="310"/>
      <c r="I101" s="312"/>
      <c r="J101" s="312"/>
      <c r="K101" s="560"/>
      <c r="L101" s="552"/>
      <c r="M101" s="172" t="b">
        <f>IF(_xlfn.XLOOKUP(BB101,Tabel2[Locatiecode],Tabel2[Type locatie],"",0)="vaccin",TRUE,FALSE)</f>
        <v>0</v>
      </c>
      <c r="BB101" s="272" t="str">
        <f>IF(Ruimtestaat!BC101="","",Ruimtestaat!BC101)</f>
        <v>HHW-PRH</v>
      </c>
      <c r="BC101" s="273">
        <f t="shared" si="2"/>
        <v>156</v>
      </c>
      <c r="BD101" s="274">
        <f ca="1">Ruimtestaat!D101*$BC101</f>
        <v>0</v>
      </c>
      <c r="BE101" s="275">
        <f ca="1">Ruimtestaat!E101*$BC101</f>
        <v>0</v>
      </c>
      <c r="BF101" s="275">
        <f ca="1">Ruimtestaat!F101*$BC101</f>
        <v>0</v>
      </c>
      <c r="BG101" s="275">
        <f ca="1">Ruimtestaat!G101*$BC101</f>
        <v>0</v>
      </c>
      <c r="BH101" s="275">
        <f ca="1">Ruimtestaat!H101*$BC101</f>
        <v>0</v>
      </c>
      <c r="BI101" s="276">
        <f ca="1">Ruimtestaat!I101*$BC101</f>
        <v>0</v>
      </c>
      <c r="BJ101" s="277">
        <f ca="1">Ruimtestaat!J101*$BC101</f>
        <v>0</v>
      </c>
      <c r="BK101" s="552"/>
      <c r="BR101" s="272" t="str">
        <f>IF(Ruimtestaat!BC101="","",Ruimtestaat!BC101)</f>
        <v>HHW-PRH</v>
      </c>
      <c r="BS101" s="273">
        <f t="shared" si="3"/>
        <v>156</v>
      </c>
      <c r="BT101" s="274" t="str">
        <f ca="1">IF(BD101&gt;0,IF(ISNUMBER(Schoonmaaknormen!D101),Schoonmaaknormen!BD101/Schoonmaaknormen!D101,0),"")</f>
        <v/>
      </c>
      <c r="BU101" s="275" t="str">
        <f ca="1">IF(BE101&gt;0,IF(ISNUMBER(Schoonmaaknormen!E101),Schoonmaaknormen!BE101/Schoonmaaknormen!E101,0),"")</f>
        <v/>
      </c>
      <c r="BV101" s="275" t="str">
        <f ca="1">IF(BF101&gt;0,IF(ISNUMBER(Schoonmaaknormen!F101),Schoonmaaknormen!BF101/Schoonmaaknormen!F101,0),"")</f>
        <v/>
      </c>
      <c r="BW101" s="275" t="str">
        <f ca="1">IF(BG101&gt;0,IF(ISNUMBER(Schoonmaaknormen!G101),Schoonmaaknormen!BG101/Schoonmaaknormen!G101,0),"")</f>
        <v/>
      </c>
      <c r="BX101" s="275" t="str">
        <f ca="1">IF(BH101&gt;0,IF(ISNUMBER(Schoonmaaknormen!H101),Schoonmaaknormen!BH101/Schoonmaaknormen!H101,0),"")</f>
        <v/>
      </c>
      <c r="BY101" s="275" t="str">
        <f ca="1">IF(BI101&gt;0,IF(ISNUMBER(Schoonmaaknormen!I101),Schoonmaaknormen!BI101/Schoonmaaknormen!I101,0),"")</f>
        <v/>
      </c>
      <c r="BZ101" s="275" t="str">
        <f ca="1">IF(BJ101&gt;0,IF(ISNUMBER(Schoonmaaknormen!J101),Schoonmaaknormen!BJ101/Schoonmaaknormen!J101,0),"")</f>
        <v/>
      </c>
      <c r="CA101" s="548"/>
      <c r="CB101" s="552"/>
    </row>
    <row r="102" spans="1:80" ht="0.2" customHeight="1" x14ac:dyDescent="0.2">
      <c r="A102" s="172">
        <f ca="1">Ruimtestaat!A102</f>
        <v>2</v>
      </c>
      <c r="B102" s="557"/>
      <c r="C102" s="11">
        <v>104</v>
      </c>
      <c r="D102" s="309"/>
      <c r="E102" s="310"/>
      <c r="F102" s="310"/>
      <c r="G102" s="310"/>
      <c r="H102" s="310"/>
      <c r="I102" s="312"/>
      <c r="J102" s="312"/>
      <c r="K102" s="561"/>
      <c r="L102" s="553"/>
      <c r="M102" s="172" t="b">
        <f>IF(_xlfn.XLOOKUP(BB102,Tabel2[Locatiecode],Tabel2[Type locatie],"",0)="vaccin",TRUE,FALSE)</f>
        <v>0</v>
      </c>
      <c r="BB102" s="278" t="str">
        <f>IF(Ruimtestaat!BC102="","",Ruimtestaat!BC102)</f>
        <v>HHW-PRH</v>
      </c>
      <c r="BC102" s="279">
        <f t="shared" si="2"/>
        <v>104</v>
      </c>
      <c r="BD102" s="280">
        <f ca="1">Ruimtestaat!D102*$BC102</f>
        <v>0</v>
      </c>
      <c r="BE102" s="281">
        <f ca="1">Ruimtestaat!E102*$BC102</f>
        <v>0</v>
      </c>
      <c r="BF102" s="281">
        <f ca="1">Ruimtestaat!F102*$BC102</f>
        <v>0</v>
      </c>
      <c r="BG102" s="281">
        <f ca="1">Ruimtestaat!G102*$BC102</f>
        <v>0</v>
      </c>
      <c r="BH102" s="281">
        <f ca="1">Ruimtestaat!H102*$BC102</f>
        <v>0</v>
      </c>
      <c r="BI102" s="282">
        <f ca="1">Ruimtestaat!I102*$BC102</f>
        <v>0</v>
      </c>
      <c r="BJ102" s="283">
        <f ca="1">Ruimtestaat!J102*$BC102</f>
        <v>0</v>
      </c>
      <c r="BK102" s="553"/>
      <c r="BR102" s="278" t="str">
        <f>IF(Ruimtestaat!BC102="","",Ruimtestaat!BC102)</f>
        <v>HHW-PRH</v>
      </c>
      <c r="BS102" s="313">
        <f t="shared" si="3"/>
        <v>104</v>
      </c>
      <c r="BT102" s="280" t="str">
        <f ca="1">IF(BD102&gt;0,IF(ISNUMBER(Schoonmaaknormen!D102),Schoonmaaknormen!BD102/Schoonmaaknormen!D102,0),"")</f>
        <v/>
      </c>
      <c r="BU102" s="314" t="str">
        <f ca="1">IF(BE102&gt;0,IF(ISNUMBER(Schoonmaaknormen!E102),Schoonmaaknormen!BE102/Schoonmaaknormen!E102,0),"")</f>
        <v/>
      </c>
      <c r="BV102" s="314" t="str">
        <f ca="1">IF(BF102&gt;0,IF(ISNUMBER(Schoonmaaknormen!F102),Schoonmaaknormen!BF102/Schoonmaaknormen!F102,0),"")</f>
        <v/>
      </c>
      <c r="BW102" s="314" t="str">
        <f ca="1">IF(BG102&gt;0,IF(ISNUMBER(Schoonmaaknormen!G102),Schoonmaaknormen!BG102/Schoonmaaknormen!G102,0),"")</f>
        <v/>
      </c>
      <c r="BX102" s="314" t="str">
        <f ca="1">IF(BH102&gt;0,IF(ISNUMBER(Schoonmaaknormen!H102),Schoonmaaknormen!BH102/Schoonmaaknormen!H102,0),"")</f>
        <v/>
      </c>
      <c r="BY102" s="314" t="str">
        <f ca="1">IF(BI102&gt;0,IF(ISNUMBER(Schoonmaaknormen!I102),Schoonmaaknormen!BI102/Schoonmaaknormen!I102,0),"")</f>
        <v/>
      </c>
      <c r="BZ102" s="314" t="str">
        <f ca="1">IF(BJ102&gt;0,IF(ISNUMBER(Schoonmaaknormen!J102),Schoonmaaknormen!BJ102/Schoonmaaknormen!J102,0),"")</f>
        <v/>
      </c>
      <c r="CA102" s="549"/>
      <c r="CB102" s="553"/>
    </row>
    <row r="103" spans="1:80" ht="0.2" customHeight="1" x14ac:dyDescent="0.2">
      <c r="A103" s="172">
        <f ca="1">Ruimtestaat!A103</f>
        <v>2</v>
      </c>
      <c r="B103" s="557"/>
      <c r="C103" s="11">
        <v>52</v>
      </c>
      <c r="D103" s="309"/>
      <c r="E103" s="310"/>
      <c r="F103" s="310"/>
      <c r="G103" s="310"/>
      <c r="H103" s="310"/>
      <c r="I103" s="312"/>
      <c r="J103" s="312"/>
      <c r="K103" s="561"/>
      <c r="L103" s="553"/>
      <c r="M103" s="172" t="b">
        <f>IF(_xlfn.XLOOKUP(BB103,Tabel2[Locatiecode],Tabel2[Type locatie],"",0)="vaccin",TRUE,FALSE)</f>
        <v>0</v>
      </c>
      <c r="BB103" s="284" t="str">
        <f>IF(Ruimtestaat!BC103="","",Ruimtestaat!BC103)</f>
        <v>HHW-PRH</v>
      </c>
      <c r="BC103" s="285">
        <f t="shared" si="2"/>
        <v>52</v>
      </c>
      <c r="BD103" s="286">
        <f ca="1">Ruimtestaat!D103*$BC103</f>
        <v>0</v>
      </c>
      <c r="BE103" s="287">
        <f ca="1">Ruimtestaat!E103*$BC103</f>
        <v>0</v>
      </c>
      <c r="BF103" s="287">
        <f ca="1">Ruimtestaat!F103*$BC103</f>
        <v>0</v>
      </c>
      <c r="BG103" s="287">
        <f ca="1">Ruimtestaat!G103*$BC103</f>
        <v>0</v>
      </c>
      <c r="BH103" s="287">
        <f ca="1">Ruimtestaat!H103*$BC103</f>
        <v>0</v>
      </c>
      <c r="BI103" s="288">
        <f ca="1">Ruimtestaat!I103*$BC103</f>
        <v>0</v>
      </c>
      <c r="BJ103" s="289">
        <f ca="1">Ruimtestaat!J103*$BC103</f>
        <v>0</v>
      </c>
      <c r="BK103" s="553"/>
      <c r="BR103" s="284" t="str">
        <f>IF(Ruimtestaat!BC103="","",Ruimtestaat!BC103)</f>
        <v>HHW-PRH</v>
      </c>
      <c r="BS103" s="285">
        <f t="shared" si="3"/>
        <v>52</v>
      </c>
      <c r="BT103" s="286" t="str">
        <f ca="1">IF(BD103&gt;0,IF(ISNUMBER(Schoonmaaknormen!D103),Schoonmaaknormen!BD103/Schoonmaaknormen!D103,0),"")</f>
        <v/>
      </c>
      <c r="BU103" s="287" t="str">
        <f ca="1">IF(BE103&gt;0,IF(ISNUMBER(Schoonmaaknormen!E103),Schoonmaaknormen!BE103/Schoonmaaknormen!E103,0),"")</f>
        <v/>
      </c>
      <c r="BV103" s="287" t="str">
        <f ca="1">IF(BF103&gt;0,IF(ISNUMBER(Schoonmaaknormen!F103),Schoonmaaknormen!BF103/Schoonmaaknormen!F103,0),"")</f>
        <v/>
      </c>
      <c r="BW103" s="287" t="str">
        <f ca="1">IF(BG103&gt;0,IF(ISNUMBER(Schoonmaaknormen!G103),Schoonmaaknormen!BG103/Schoonmaaknormen!G103,0),"")</f>
        <v/>
      </c>
      <c r="BX103" s="287" t="str">
        <f ca="1">IF(BH103&gt;0,IF(ISNUMBER(Schoonmaaknormen!H103),Schoonmaaknormen!BH103/Schoonmaaknormen!H103,0),"")</f>
        <v/>
      </c>
      <c r="BY103" s="287" t="str">
        <f ca="1">IF(BI103&gt;0,IF(ISNUMBER(Schoonmaaknormen!I103),Schoonmaaknormen!BI103/Schoonmaaknormen!I103,0),"")</f>
        <v/>
      </c>
      <c r="BZ103" s="287" t="str">
        <f ca="1">IF(BJ103&gt;0,IF(ISNUMBER(Schoonmaaknormen!J103),Schoonmaaknormen!BJ103/Schoonmaaknormen!J103,0),"")</f>
        <v/>
      </c>
      <c r="CA103" s="549"/>
      <c r="CB103" s="553"/>
    </row>
    <row r="104" spans="1:80" ht="0.2" customHeight="1" x14ac:dyDescent="0.2">
      <c r="A104" s="172">
        <f ca="1">Ruimtestaat!A104</f>
        <v>2</v>
      </c>
      <c r="B104" s="558"/>
      <c r="C104" s="290">
        <v>4</v>
      </c>
      <c r="D104" s="186"/>
      <c r="E104" s="187"/>
      <c r="F104" s="187"/>
      <c r="G104" s="187"/>
      <c r="H104" s="187"/>
      <c r="I104" s="189"/>
      <c r="J104" s="189"/>
      <c r="K104" s="562"/>
      <c r="L104" s="554"/>
      <c r="M104" s="172" t="b">
        <f>IF(_xlfn.XLOOKUP(BB104,Tabel2[Locatiecode],Tabel2[Type locatie],"",0)="vaccin",TRUE,FALSE)</f>
        <v>0</v>
      </c>
      <c r="BB104" s="291" t="str">
        <f>IF(Ruimtestaat!BC104="","",Ruimtestaat!BC104)</f>
        <v>HHW-PRH</v>
      </c>
      <c r="BC104" s="292">
        <f t="shared" si="2"/>
        <v>4</v>
      </c>
      <c r="BD104" s="293">
        <f ca="1">Ruimtestaat!D104*$BC104</f>
        <v>0</v>
      </c>
      <c r="BE104" s="294">
        <f ca="1">Ruimtestaat!E104*$BC104</f>
        <v>0</v>
      </c>
      <c r="BF104" s="294">
        <f ca="1">Ruimtestaat!F104*$BC104</f>
        <v>0</v>
      </c>
      <c r="BG104" s="294">
        <f ca="1">Ruimtestaat!G104*$BC104</f>
        <v>0</v>
      </c>
      <c r="BH104" s="294">
        <f ca="1">Ruimtestaat!H104*$BC104</f>
        <v>0</v>
      </c>
      <c r="BI104" s="295">
        <f ca="1">Ruimtestaat!I104*$BC104</f>
        <v>0</v>
      </c>
      <c r="BJ104" s="296">
        <f ca="1">Ruimtestaat!J104*$BC104</f>
        <v>0</v>
      </c>
      <c r="BK104" s="554"/>
      <c r="BR104" s="291" t="str">
        <f>IF(Ruimtestaat!BC104="","",Ruimtestaat!BC104)</f>
        <v>HHW-PRH</v>
      </c>
      <c r="BS104" s="292">
        <f t="shared" si="3"/>
        <v>4</v>
      </c>
      <c r="BT104" s="293" t="str">
        <f ca="1">IF(BD104&gt;0,IF(ISNUMBER(Schoonmaaknormen!D104),Schoonmaaknormen!BD104/Schoonmaaknormen!D104,0),"")</f>
        <v/>
      </c>
      <c r="BU104" s="294" t="str">
        <f ca="1">IF(BE104&gt;0,IF(ISNUMBER(Schoonmaaknormen!E104),Schoonmaaknormen!BE104/Schoonmaaknormen!E104,0),"")</f>
        <v/>
      </c>
      <c r="BV104" s="294" t="str">
        <f ca="1">IF(BF104&gt;0,IF(ISNUMBER(Schoonmaaknormen!F104),Schoonmaaknormen!BF104/Schoonmaaknormen!F104,0),"")</f>
        <v/>
      </c>
      <c r="BW104" s="294" t="str">
        <f ca="1">IF(BG104&gt;0,IF(ISNUMBER(Schoonmaaknormen!G104),Schoonmaaknormen!BG104/Schoonmaaknormen!G104,0),"")</f>
        <v/>
      </c>
      <c r="BX104" s="294" t="str">
        <f ca="1">IF(BH104&gt;0,IF(ISNUMBER(Schoonmaaknormen!H104),Schoonmaaknormen!BH104/Schoonmaaknormen!H104,0),"")</f>
        <v/>
      </c>
      <c r="BY104" s="294" t="str">
        <f ca="1">IF(BI104&gt;0,IF(ISNUMBER(Schoonmaaknormen!I104),Schoonmaaknormen!BI104/Schoonmaaknormen!I104,0),"")</f>
        <v/>
      </c>
      <c r="BZ104" s="294" t="str">
        <f ca="1">IF(BJ104&gt;0,IF(ISNUMBER(Schoonmaaknormen!J104),Schoonmaaknormen!BJ104/Schoonmaaknormen!J104,0),"")</f>
        <v/>
      </c>
      <c r="CA104" s="555"/>
      <c r="CB104" s="554"/>
    </row>
    <row r="105" spans="1:80" ht="15" customHeight="1" x14ac:dyDescent="0.2">
      <c r="A105" s="172">
        <f ca="1">Ruimtestaat!A105</f>
        <v>1</v>
      </c>
      <c r="B105" s="556" t="str">
        <f>BB105</f>
        <v>HKS-ODN</v>
      </c>
      <c r="C105" s="298">
        <v>255</v>
      </c>
      <c r="D105" s="299"/>
      <c r="E105" s="300"/>
      <c r="F105" s="300"/>
      <c r="G105" s="300"/>
      <c r="H105" s="300"/>
      <c r="I105" s="302"/>
      <c r="J105" s="302"/>
      <c r="K105" s="559"/>
      <c r="L105" s="551" t="str" cm="1">
        <f t="array" aca="1" ref="L105" ca="1">_xlfn.IFS(A105=2,"",COUNTBLANK(D105:J110)=COUNTIF(Ruimtestaat!D105:J110,"&lt;=0"),BK105/CB105,TRUE,"")</f>
        <v/>
      </c>
      <c r="M105" s="172" t="b">
        <f>IF(_xlfn.XLOOKUP(BB105,Tabel2[Locatiecode],Tabel2[Type locatie],"",0)="vaccin",TRUE,FALSE)</f>
        <v>0</v>
      </c>
      <c r="BB105" s="303" t="str">
        <f>IF(Ruimtestaat!BC105="","",Ruimtestaat!BC105)</f>
        <v>HKS-ODN</v>
      </c>
      <c r="BC105" s="304">
        <f t="shared" si="2"/>
        <v>255</v>
      </c>
      <c r="BD105" s="305">
        <f ca="1">Ruimtestaat!D105*$BC105</f>
        <v>7675.5</v>
      </c>
      <c r="BE105" s="306">
        <f ca="1">Ruimtestaat!E105*$BC105</f>
        <v>4360.5</v>
      </c>
      <c r="BF105" s="306">
        <f ca="1">Ruimtestaat!F105*$BC105</f>
        <v>8109</v>
      </c>
      <c r="BG105" s="306">
        <f ca="1">Ruimtestaat!G105*$BC105</f>
        <v>484.5</v>
      </c>
      <c r="BH105" s="306">
        <f ca="1">Ruimtestaat!H105*$BC105</f>
        <v>1351.5</v>
      </c>
      <c r="BI105" s="307">
        <f ca="1">Ruimtestaat!I105*$BC105</f>
        <v>5074.5</v>
      </c>
      <c r="BJ105" s="308">
        <f ca="1">Ruimtestaat!J105*$BC105</f>
        <v>0</v>
      </c>
      <c r="BK105" s="552">
        <f ca="1">SUM(BD105:BJ110)</f>
        <v>27055.5</v>
      </c>
      <c r="BR105" s="303" t="str">
        <f>IF(Ruimtestaat!BC105="","",Ruimtestaat!BC105)</f>
        <v>HKS-ODN</v>
      </c>
      <c r="BS105" s="304">
        <f t="shared" si="3"/>
        <v>255</v>
      </c>
      <c r="BT105" s="305">
        <f ca="1">IF(BD105&gt;0,IF(ISNUMBER(Schoonmaaknormen!D105),Schoonmaaknormen!BD105/Schoonmaaknormen!D105,0),"")</f>
        <v>0</v>
      </c>
      <c r="BU105" s="306">
        <f ca="1">IF(BE105&gt;0,IF(ISNUMBER(Schoonmaaknormen!E105),Schoonmaaknormen!BE105/Schoonmaaknormen!E105,0),"")</f>
        <v>0</v>
      </c>
      <c r="BV105" s="306">
        <f ca="1">IF(BF105&gt;0,IF(ISNUMBER(Schoonmaaknormen!F105),Schoonmaaknormen!BF105/Schoonmaaknormen!F105,0),"")</f>
        <v>0</v>
      </c>
      <c r="BW105" s="306">
        <f ca="1">IF(BG105&gt;0,IF(ISNUMBER(Schoonmaaknormen!G105),Schoonmaaknormen!BG105/Schoonmaaknormen!G105,0),"")</f>
        <v>0</v>
      </c>
      <c r="BX105" s="306">
        <f ca="1">IF(BH105&gt;0,IF(ISNUMBER(Schoonmaaknormen!H105),Schoonmaaknormen!BH105/Schoonmaaknormen!H105,0),"")</f>
        <v>0</v>
      </c>
      <c r="BY105" s="306">
        <f ca="1">IF(BI105&gt;0,IF(ISNUMBER(Schoonmaaknormen!I105),Schoonmaaknormen!BI105/Schoonmaaknormen!I105,0),"")</f>
        <v>0</v>
      </c>
      <c r="BZ105" s="306" t="str">
        <f ca="1">IF(BJ105&gt;0,IF(ISNUMBER(Schoonmaaknormen!J105),Schoonmaaknormen!BJ105/Schoonmaaknormen!J105,0),"")</f>
        <v/>
      </c>
      <c r="CA105" s="547" t="str" cm="1">
        <f t="array" ref="CA105">IF(ISNUMBER(K105),IF(SUM(BT105:BZ110)/LARGE(_xlfn._xlws.FILTER(Ruimtestaat!BD:BD,Ruimtestaat!BC:BC=BR105),1)&lt;K105,K105*LARGE(_xlfn._xlws.FILTER(Ruimtestaat!BD:BD,Ruimtestaat!BC:BC=BR105),1)-SUM(BT105:BZ110),0),"")</f>
        <v/>
      </c>
      <c r="CB105" s="551">
        <f ca="1">SUM(BT105:CA110)</f>
        <v>0</v>
      </c>
    </row>
    <row r="106" spans="1:80" ht="0.2" customHeight="1" x14ac:dyDescent="0.2">
      <c r="A106" s="172">
        <f ca="1">Ruimtestaat!A106</f>
        <v>2</v>
      </c>
      <c r="B106" s="557"/>
      <c r="C106" s="11">
        <v>204</v>
      </c>
      <c r="D106" s="309"/>
      <c r="E106" s="310"/>
      <c r="F106" s="310"/>
      <c r="G106" s="310"/>
      <c r="H106" s="310"/>
      <c r="I106" s="312"/>
      <c r="J106" s="312"/>
      <c r="K106" s="560"/>
      <c r="L106" s="552"/>
      <c r="M106" s="172" t="b">
        <f>IF(_xlfn.XLOOKUP(BB106,Tabel2[Locatiecode],Tabel2[Type locatie],"",0)="vaccin",TRUE,FALSE)</f>
        <v>0</v>
      </c>
      <c r="BB106" s="272" t="str">
        <f>IF(Ruimtestaat!BC106="","",Ruimtestaat!BC106)</f>
        <v>HKS-ODN</v>
      </c>
      <c r="BC106" s="273">
        <f t="shared" si="2"/>
        <v>204</v>
      </c>
      <c r="BD106" s="274">
        <f ca="1">Ruimtestaat!D106*$BC106</f>
        <v>0</v>
      </c>
      <c r="BE106" s="275">
        <f ca="1">Ruimtestaat!E106*$BC106</f>
        <v>0</v>
      </c>
      <c r="BF106" s="275">
        <f ca="1">Ruimtestaat!F106*$BC106</f>
        <v>0</v>
      </c>
      <c r="BG106" s="275">
        <f ca="1">Ruimtestaat!G106*$BC106</f>
        <v>0</v>
      </c>
      <c r="BH106" s="275">
        <f ca="1">Ruimtestaat!H106*$BC106</f>
        <v>0</v>
      </c>
      <c r="BI106" s="276">
        <f ca="1">Ruimtestaat!I106*$BC106</f>
        <v>0</v>
      </c>
      <c r="BJ106" s="277">
        <f ca="1">Ruimtestaat!J106*$BC106</f>
        <v>0</v>
      </c>
      <c r="BK106" s="552"/>
      <c r="BR106" s="272" t="str">
        <f>IF(Ruimtestaat!BC106="","",Ruimtestaat!BC106)</f>
        <v>HKS-ODN</v>
      </c>
      <c r="BS106" s="273">
        <f t="shared" si="3"/>
        <v>204</v>
      </c>
      <c r="BT106" s="274" t="str">
        <f ca="1">IF(BD106&gt;0,IF(ISNUMBER(Schoonmaaknormen!D106),Schoonmaaknormen!BD106/Schoonmaaknormen!D106,0),"")</f>
        <v/>
      </c>
      <c r="BU106" s="275" t="str">
        <f ca="1">IF(BE106&gt;0,IF(ISNUMBER(Schoonmaaknormen!E106),Schoonmaaknormen!BE106/Schoonmaaknormen!E106,0),"")</f>
        <v/>
      </c>
      <c r="BV106" s="275" t="str">
        <f ca="1">IF(BF106&gt;0,IF(ISNUMBER(Schoonmaaknormen!F106),Schoonmaaknormen!BF106/Schoonmaaknormen!F106,0),"")</f>
        <v/>
      </c>
      <c r="BW106" s="275" t="str">
        <f ca="1">IF(BG106&gt;0,IF(ISNUMBER(Schoonmaaknormen!G106),Schoonmaaknormen!BG106/Schoonmaaknormen!G106,0),"")</f>
        <v/>
      </c>
      <c r="BX106" s="275" t="str">
        <f ca="1">IF(BH106&gt;0,IF(ISNUMBER(Schoonmaaknormen!H106),Schoonmaaknormen!BH106/Schoonmaaknormen!H106,0),"")</f>
        <v/>
      </c>
      <c r="BY106" s="275" t="str">
        <f ca="1">IF(BI106&gt;0,IF(ISNUMBER(Schoonmaaknormen!I106),Schoonmaaknormen!BI106/Schoonmaaknormen!I106,0),"")</f>
        <v/>
      </c>
      <c r="BZ106" s="275" t="str">
        <f ca="1">IF(BJ106&gt;0,IF(ISNUMBER(Schoonmaaknormen!J106),Schoonmaaknormen!BJ106/Schoonmaaknormen!J106,0),"")</f>
        <v/>
      </c>
      <c r="CA106" s="548"/>
      <c r="CB106" s="552"/>
    </row>
    <row r="107" spans="1:80" ht="0.2" customHeight="1" x14ac:dyDescent="0.2">
      <c r="A107" s="172">
        <f ca="1">Ruimtestaat!A107</f>
        <v>2</v>
      </c>
      <c r="B107" s="557"/>
      <c r="C107" s="11">
        <v>156</v>
      </c>
      <c r="D107" s="309"/>
      <c r="E107" s="310"/>
      <c r="F107" s="310"/>
      <c r="G107" s="310"/>
      <c r="H107" s="310"/>
      <c r="I107" s="312"/>
      <c r="J107" s="312"/>
      <c r="K107" s="560"/>
      <c r="L107" s="552"/>
      <c r="M107" s="172" t="b">
        <f>IF(_xlfn.XLOOKUP(BB107,Tabel2[Locatiecode],Tabel2[Type locatie],"",0)="vaccin",TRUE,FALSE)</f>
        <v>0</v>
      </c>
      <c r="BB107" s="272" t="str">
        <f>IF(Ruimtestaat!BC107="","",Ruimtestaat!BC107)</f>
        <v>HKS-ODN</v>
      </c>
      <c r="BC107" s="273">
        <f t="shared" si="2"/>
        <v>156</v>
      </c>
      <c r="BD107" s="274">
        <f ca="1">Ruimtestaat!D107*$BC107</f>
        <v>0</v>
      </c>
      <c r="BE107" s="275">
        <f ca="1">Ruimtestaat!E107*$BC107</f>
        <v>0</v>
      </c>
      <c r="BF107" s="275">
        <f ca="1">Ruimtestaat!F107*$BC107</f>
        <v>0</v>
      </c>
      <c r="BG107" s="275">
        <f ca="1">Ruimtestaat!G107*$BC107</f>
        <v>0</v>
      </c>
      <c r="BH107" s="275">
        <f ca="1">Ruimtestaat!H107*$BC107</f>
        <v>0</v>
      </c>
      <c r="BI107" s="276">
        <f ca="1">Ruimtestaat!I107*$BC107</f>
        <v>0</v>
      </c>
      <c r="BJ107" s="277">
        <f ca="1">Ruimtestaat!J107*$BC107</f>
        <v>0</v>
      </c>
      <c r="BK107" s="552"/>
      <c r="BR107" s="272" t="str">
        <f>IF(Ruimtestaat!BC107="","",Ruimtestaat!BC107)</f>
        <v>HKS-ODN</v>
      </c>
      <c r="BS107" s="273">
        <f t="shared" si="3"/>
        <v>156</v>
      </c>
      <c r="BT107" s="274" t="str">
        <f ca="1">IF(BD107&gt;0,IF(ISNUMBER(Schoonmaaknormen!D107),Schoonmaaknormen!BD107/Schoonmaaknormen!D107,0),"")</f>
        <v/>
      </c>
      <c r="BU107" s="275" t="str">
        <f ca="1">IF(BE107&gt;0,IF(ISNUMBER(Schoonmaaknormen!E107),Schoonmaaknormen!BE107/Schoonmaaknormen!E107,0),"")</f>
        <v/>
      </c>
      <c r="BV107" s="275" t="str">
        <f ca="1">IF(BF107&gt;0,IF(ISNUMBER(Schoonmaaknormen!F107),Schoonmaaknormen!BF107/Schoonmaaknormen!F107,0),"")</f>
        <v/>
      </c>
      <c r="BW107" s="275" t="str">
        <f ca="1">IF(BG107&gt;0,IF(ISNUMBER(Schoonmaaknormen!G107),Schoonmaaknormen!BG107/Schoonmaaknormen!G107,0),"")</f>
        <v/>
      </c>
      <c r="BX107" s="275" t="str">
        <f ca="1">IF(BH107&gt;0,IF(ISNUMBER(Schoonmaaknormen!H107),Schoonmaaknormen!BH107/Schoonmaaknormen!H107,0),"")</f>
        <v/>
      </c>
      <c r="BY107" s="275" t="str">
        <f ca="1">IF(BI107&gt;0,IF(ISNUMBER(Schoonmaaknormen!I107),Schoonmaaknormen!BI107/Schoonmaaknormen!I107,0),"")</f>
        <v/>
      </c>
      <c r="BZ107" s="275" t="str">
        <f ca="1">IF(BJ107&gt;0,IF(ISNUMBER(Schoonmaaknormen!J107),Schoonmaaknormen!BJ107/Schoonmaaknormen!J107,0),"")</f>
        <v/>
      </c>
      <c r="CA107" s="548"/>
      <c r="CB107" s="552"/>
    </row>
    <row r="108" spans="1:80" ht="0.2" customHeight="1" x14ac:dyDescent="0.2">
      <c r="A108" s="172">
        <f ca="1">Ruimtestaat!A108</f>
        <v>2</v>
      </c>
      <c r="B108" s="557"/>
      <c r="C108" s="11">
        <v>104</v>
      </c>
      <c r="D108" s="309"/>
      <c r="E108" s="310"/>
      <c r="F108" s="310"/>
      <c r="G108" s="310"/>
      <c r="H108" s="310"/>
      <c r="I108" s="312"/>
      <c r="J108" s="312"/>
      <c r="K108" s="561"/>
      <c r="L108" s="553"/>
      <c r="M108" s="172" t="b">
        <f>IF(_xlfn.XLOOKUP(BB108,Tabel2[Locatiecode],Tabel2[Type locatie],"",0)="vaccin",TRUE,FALSE)</f>
        <v>0</v>
      </c>
      <c r="BB108" s="278" t="str">
        <f>IF(Ruimtestaat!BC108="","",Ruimtestaat!BC108)</f>
        <v>HKS-ODN</v>
      </c>
      <c r="BC108" s="279">
        <f t="shared" si="2"/>
        <v>104</v>
      </c>
      <c r="BD108" s="280">
        <f ca="1">Ruimtestaat!D108*$BC108</f>
        <v>0</v>
      </c>
      <c r="BE108" s="281">
        <f ca="1">Ruimtestaat!E108*$BC108</f>
        <v>0</v>
      </c>
      <c r="BF108" s="281">
        <f ca="1">Ruimtestaat!F108*$BC108</f>
        <v>0</v>
      </c>
      <c r="BG108" s="281">
        <f ca="1">Ruimtestaat!G108*$BC108</f>
        <v>0</v>
      </c>
      <c r="BH108" s="281">
        <f ca="1">Ruimtestaat!H108*$BC108</f>
        <v>0</v>
      </c>
      <c r="BI108" s="282">
        <f ca="1">Ruimtestaat!I108*$BC108</f>
        <v>0</v>
      </c>
      <c r="BJ108" s="283">
        <f ca="1">Ruimtestaat!J108*$BC108</f>
        <v>0</v>
      </c>
      <c r="BK108" s="553"/>
      <c r="BR108" s="278" t="str">
        <f>IF(Ruimtestaat!BC108="","",Ruimtestaat!BC108)</f>
        <v>HKS-ODN</v>
      </c>
      <c r="BS108" s="313">
        <f t="shared" si="3"/>
        <v>104</v>
      </c>
      <c r="BT108" s="280" t="str">
        <f ca="1">IF(BD108&gt;0,IF(ISNUMBER(Schoonmaaknormen!D108),Schoonmaaknormen!BD108/Schoonmaaknormen!D108,0),"")</f>
        <v/>
      </c>
      <c r="BU108" s="314" t="str">
        <f ca="1">IF(BE108&gt;0,IF(ISNUMBER(Schoonmaaknormen!E108),Schoonmaaknormen!BE108/Schoonmaaknormen!E108,0),"")</f>
        <v/>
      </c>
      <c r="BV108" s="314" t="str">
        <f ca="1">IF(BF108&gt;0,IF(ISNUMBER(Schoonmaaknormen!F108),Schoonmaaknormen!BF108/Schoonmaaknormen!F108,0),"")</f>
        <v/>
      </c>
      <c r="BW108" s="314" t="str">
        <f ca="1">IF(BG108&gt;0,IF(ISNUMBER(Schoonmaaknormen!G108),Schoonmaaknormen!BG108/Schoonmaaknormen!G108,0),"")</f>
        <v/>
      </c>
      <c r="BX108" s="314" t="str">
        <f ca="1">IF(BH108&gt;0,IF(ISNUMBER(Schoonmaaknormen!H108),Schoonmaaknormen!BH108/Schoonmaaknormen!H108,0),"")</f>
        <v/>
      </c>
      <c r="BY108" s="314" t="str">
        <f ca="1">IF(BI108&gt;0,IF(ISNUMBER(Schoonmaaknormen!I108),Schoonmaaknormen!BI108/Schoonmaaknormen!I108,0),"")</f>
        <v/>
      </c>
      <c r="BZ108" s="314" t="str">
        <f ca="1">IF(BJ108&gt;0,IF(ISNUMBER(Schoonmaaknormen!J108),Schoonmaaknormen!BJ108/Schoonmaaknormen!J108,0),"")</f>
        <v/>
      </c>
      <c r="CA108" s="549"/>
      <c r="CB108" s="553"/>
    </row>
    <row r="109" spans="1:80" ht="0.2" customHeight="1" x14ac:dyDescent="0.2">
      <c r="A109" s="172">
        <f ca="1">Ruimtestaat!A109</f>
        <v>2</v>
      </c>
      <c r="B109" s="557"/>
      <c r="C109" s="11">
        <v>52</v>
      </c>
      <c r="D109" s="309"/>
      <c r="E109" s="310"/>
      <c r="F109" s="310"/>
      <c r="G109" s="310"/>
      <c r="H109" s="310"/>
      <c r="I109" s="312"/>
      <c r="J109" s="312"/>
      <c r="K109" s="561"/>
      <c r="L109" s="553"/>
      <c r="M109" s="172" t="b">
        <f>IF(_xlfn.XLOOKUP(BB109,Tabel2[Locatiecode],Tabel2[Type locatie],"",0)="vaccin",TRUE,FALSE)</f>
        <v>0</v>
      </c>
      <c r="BB109" s="284" t="str">
        <f>IF(Ruimtestaat!BC109="","",Ruimtestaat!BC109)</f>
        <v>HKS-ODN</v>
      </c>
      <c r="BC109" s="285">
        <f t="shared" si="2"/>
        <v>52</v>
      </c>
      <c r="BD109" s="286">
        <f ca="1">Ruimtestaat!D109*$BC109</f>
        <v>0</v>
      </c>
      <c r="BE109" s="287">
        <f ca="1">Ruimtestaat!E109*$BC109</f>
        <v>0</v>
      </c>
      <c r="BF109" s="287">
        <f ca="1">Ruimtestaat!F109*$BC109</f>
        <v>0</v>
      </c>
      <c r="BG109" s="287">
        <f ca="1">Ruimtestaat!G109*$BC109</f>
        <v>0</v>
      </c>
      <c r="BH109" s="287">
        <f ca="1">Ruimtestaat!H109*$BC109</f>
        <v>0</v>
      </c>
      <c r="BI109" s="288">
        <f ca="1">Ruimtestaat!I109*$BC109</f>
        <v>0</v>
      </c>
      <c r="BJ109" s="289">
        <f ca="1">Ruimtestaat!J109*$BC109</f>
        <v>0</v>
      </c>
      <c r="BK109" s="553"/>
      <c r="BR109" s="284" t="str">
        <f>IF(Ruimtestaat!BC109="","",Ruimtestaat!BC109)</f>
        <v>HKS-ODN</v>
      </c>
      <c r="BS109" s="285">
        <f t="shared" si="3"/>
        <v>52</v>
      </c>
      <c r="BT109" s="286" t="str">
        <f ca="1">IF(BD109&gt;0,IF(ISNUMBER(Schoonmaaknormen!D109),Schoonmaaknormen!BD109/Schoonmaaknormen!D109,0),"")</f>
        <v/>
      </c>
      <c r="BU109" s="287" t="str">
        <f ca="1">IF(BE109&gt;0,IF(ISNUMBER(Schoonmaaknormen!E109),Schoonmaaknormen!BE109/Schoonmaaknormen!E109,0),"")</f>
        <v/>
      </c>
      <c r="BV109" s="287" t="str">
        <f ca="1">IF(BF109&gt;0,IF(ISNUMBER(Schoonmaaknormen!F109),Schoonmaaknormen!BF109/Schoonmaaknormen!F109,0),"")</f>
        <v/>
      </c>
      <c r="BW109" s="287" t="str">
        <f ca="1">IF(BG109&gt;0,IF(ISNUMBER(Schoonmaaknormen!G109),Schoonmaaknormen!BG109/Schoonmaaknormen!G109,0),"")</f>
        <v/>
      </c>
      <c r="BX109" s="287" t="str">
        <f ca="1">IF(BH109&gt;0,IF(ISNUMBER(Schoonmaaknormen!H109),Schoonmaaknormen!BH109/Schoonmaaknormen!H109,0),"")</f>
        <v/>
      </c>
      <c r="BY109" s="287" t="str">
        <f ca="1">IF(BI109&gt;0,IF(ISNUMBER(Schoonmaaknormen!I109),Schoonmaaknormen!BI109/Schoonmaaknormen!I109,0),"")</f>
        <v/>
      </c>
      <c r="BZ109" s="287" t="str">
        <f ca="1">IF(BJ109&gt;0,IF(ISNUMBER(Schoonmaaknormen!J109),Schoonmaaknormen!BJ109/Schoonmaaknormen!J109,0),"")</f>
        <v/>
      </c>
      <c r="CA109" s="549"/>
      <c r="CB109" s="553"/>
    </row>
    <row r="110" spans="1:80" ht="0.2" customHeight="1" x14ac:dyDescent="0.2">
      <c r="A110" s="172">
        <f ca="1">Ruimtestaat!A110</f>
        <v>2</v>
      </c>
      <c r="B110" s="558"/>
      <c r="C110" s="290">
        <v>4</v>
      </c>
      <c r="D110" s="186"/>
      <c r="E110" s="187"/>
      <c r="F110" s="187"/>
      <c r="G110" s="187"/>
      <c r="H110" s="187"/>
      <c r="I110" s="189"/>
      <c r="J110" s="189"/>
      <c r="K110" s="562"/>
      <c r="L110" s="554"/>
      <c r="M110" s="172" t="b">
        <f>IF(_xlfn.XLOOKUP(BB110,Tabel2[Locatiecode],Tabel2[Type locatie],"",0)="vaccin",TRUE,FALSE)</f>
        <v>0</v>
      </c>
      <c r="BB110" s="291" t="str">
        <f>IF(Ruimtestaat!BC110="","",Ruimtestaat!BC110)</f>
        <v>HKS-ODN</v>
      </c>
      <c r="BC110" s="292">
        <f t="shared" si="2"/>
        <v>4</v>
      </c>
      <c r="BD110" s="293">
        <f ca="1">Ruimtestaat!D110*$BC110</f>
        <v>0</v>
      </c>
      <c r="BE110" s="294">
        <f ca="1">Ruimtestaat!E110*$BC110</f>
        <v>0</v>
      </c>
      <c r="BF110" s="294">
        <f ca="1">Ruimtestaat!F110*$BC110</f>
        <v>0</v>
      </c>
      <c r="BG110" s="294">
        <f ca="1">Ruimtestaat!G110*$BC110</f>
        <v>0</v>
      </c>
      <c r="BH110" s="294">
        <f ca="1">Ruimtestaat!H110*$BC110</f>
        <v>0</v>
      </c>
      <c r="BI110" s="295">
        <f ca="1">Ruimtestaat!I110*$BC110</f>
        <v>0</v>
      </c>
      <c r="BJ110" s="296">
        <f ca="1">Ruimtestaat!J110*$BC110</f>
        <v>0</v>
      </c>
      <c r="BK110" s="554"/>
      <c r="BR110" s="291" t="str">
        <f>IF(Ruimtestaat!BC110="","",Ruimtestaat!BC110)</f>
        <v>HKS-ODN</v>
      </c>
      <c r="BS110" s="292">
        <f t="shared" si="3"/>
        <v>4</v>
      </c>
      <c r="BT110" s="293" t="str">
        <f ca="1">IF(BD110&gt;0,IF(ISNUMBER(Schoonmaaknormen!D110),Schoonmaaknormen!BD110/Schoonmaaknormen!D110,0),"")</f>
        <v/>
      </c>
      <c r="BU110" s="294" t="str">
        <f ca="1">IF(BE110&gt;0,IF(ISNUMBER(Schoonmaaknormen!E110),Schoonmaaknormen!BE110/Schoonmaaknormen!E110,0),"")</f>
        <v/>
      </c>
      <c r="BV110" s="294" t="str">
        <f ca="1">IF(BF110&gt;0,IF(ISNUMBER(Schoonmaaknormen!F110),Schoonmaaknormen!BF110/Schoonmaaknormen!F110,0),"")</f>
        <v/>
      </c>
      <c r="BW110" s="294" t="str">
        <f ca="1">IF(BG110&gt;0,IF(ISNUMBER(Schoonmaaknormen!G110),Schoonmaaknormen!BG110/Schoonmaaknormen!G110,0),"")</f>
        <v/>
      </c>
      <c r="BX110" s="294" t="str">
        <f ca="1">IF(BH110&gt;0,IF(ISNUMBER(Schoonmaaknormen!H110),Schoonmaaknormen!BH110/Schoonmaaknormen!H110,0),"")</f>
        <v/>
      </c>
      <c r="BY110" s="294" t="str">
        <f ca="1">IF(BI110&gt;0,IF(ISNUMBER(Schoonmaaknormen!I110),Schoonmaaknormen!BI110/Schoonmaaknormen!I110,0),"")</f>
        <v/>
      </c>
      <c r="BZ110" s="294" t="str">
        <f ca="1">IF(BJ110&gt;0,IF(ISNUMBER(Schoonmaaknormen!J110),Schoonmaaknormen!BJ110/Schoonmaaknormen!J110,0),"")</f>
        <v/>
      </c>
      <c r="CA110" s="555"/>
      <c r="CB110" s="554"/>
    </row>
    <row r="111" spans="1:80" ht="15" customHeight="1" x14ac:dyDescent="0.2">
      <c r="A111" s="172">
        <f ca="1">Ruimtestaat!A111</f>
        <v>1</v>
      </c>
      <c r="B111" s="556" t="str">
        <f>BB111</f>
        <v>HLO-HLW</v>
      </c>
      <c r="C111" s="298">
        <v>255</v>
      </c>
      <c r="D111" s="299"/>
      <c r="E111" s="300"/>
      <c r="F111" s="300"/>
      <c r="G111" s="300"/>
      <c r="H111" s="300"/>
      <c r="I111" s="302"/>
      <c r="J111" s="302"/>
      <c r="K111" s="559"/>
      <c r="L111" s="551" t="str" cm="1">
        <f t="array" aca="1" ref="L111" ca="1">_xlfn.IFS(A111=2,"",COUNTBLANK(D111:J116)=COUNTIF(Ruimtestaat!D111:J116,"&lt;=0"),BK111/CB111,TRUE,"")</f>
        <v/>
      </c>
      <c r="M111" s="172" t="b">
        <f>IF(_xlfn.XLOOKUP(BB111,Tabel2[Locatiecode],Tabel2[Type locatie],"",0)="vaccin",TRUE,FALSE)</f>
        <v>0</v>
      </c>
      <c r="BB111" s="303" t="str">
        <f>IF(Ruimtestaat!BC111="","",Ruimtestaat!BC111)</f>
        <v>HLO-HLW</v>
      </c>
      <c r="BC111" s="304">
        <f t="shared" si="2"/>
        <v>255</v>
      </c>
      <c r="BD111" s="305">
        <f ca="1">Ruimtestaat!D111*$BC111</f>
        <v>13668</v>
      </c>
      <c r="BE111" s="306">
        <f ca="1">Ruimtestaat!E111*$BC111</f>
        <v>4615.5</v>
      </c>
      <c r="BF111" s="306">
        <f ca="1">Ruimtestaat!F111*$BC111</f>
        <v>23383.499999999996</v>
      </c>
      <c r="BG111" s="306">
        <f ca="1">Ruimtestaat!G111*$BC111</f>
        <v>1173</v>
      </c>
      <c r="BH111" s="306">
        <f ca="1">Ruimtestaat!H111*$BC111</f>
        <v>2830.5</v>
      </c>
      <c r="BI111" s="307">
        <f ca="1">Ruimtestaat!I111*$BC111</f>
        <v>13285.5</v>
      </c>
      <c r="BJ111" s="308">
        <f ca="1">Ruimtestaat!J111*$BC111</f>
        <v>0</v>
      </c>
      <c r="BK111" s="552">
        <f ca="1">SUM(BD111:BJ116)</f>
        <v>58956</v>
      </c>
      <c r="BR111" s="303" t="str">
        <f>IF(Ruimtestaat!BC111="","",Ruimtestaat!BC111)</f>
        <v>HLO-HLW</v>
      </c>
      <c r="BS111" s="304">
        <f t="shared" si="3"/>
        <v>255</v>
      </c>
      <c r="BT111" s="305">
        <f ca="1">IF(BD111&gt;0,IF(ISNUMBER(Schoonmaaknormen!D111),Schoonmaaknormen!BD111/Schoonmaaknormen!D111,0),"")</f>
        <v>0</v>
      </c>
      <c r="BU111" s="306">
        <f ca="1">IF(BE111&gt;0,IF(ISNUMBER(Schoonmaaknormen!E111),Schoonmaaknormen!BE111/Schoonmaaknormen!E111,0),"")</f>
        <v>0</v>
      </c>
      <c r="BV111" s="306">
        <f ca="1">IF(BF111&gt;0,IF(ISNUMBER(Schoonmaaknormen!F111),Schoonmaaknormen!BF111/Schoonmaaknormen!F111,0),"")</f>
        <v>0</v>
      </c>
      <c r="BW111" s="306">
        <f ca="1">IF(BG111&gt;0,IF(ISNUMBER(Schoonmaaknormen!G111),Schoonmaaknormen!BG111/Schoonmaaknormen!G111,0),"")</f>
        <v>0</v>
      </c>
      <c r="BX111" s="306">
        <f ca="1">IF(BH111&gt;0,IF(ISNUMBER(Schoonmaaknormen!H111),Schoonmaaknormen!BH111/Schoonmaaknormen!H111,0),"")</f>
        <v>0</v>
      </c>
      <c r="BY111" s="306">
        <f ca="1">IF(BI111&gt;0,IF(ISNUMBER(Schoonmaaknormen!I111),Schoonmaaknormen!BI111/Schoonmaaknormen!I111,0),"")</f>
        <v>0</v>
      </c>
      <c r="BZ111" s="306" t="str">
        <f ca="1">IF(BJ111&gt;0,IF(ISNUMBER(Schoonmaaknormen!J111),Schoonmaaknormen!BJ111/Schoonmaaknormen!J111,0),"")</f>
        <v/>
      </c>
      <c r="CA111" s="547" t="str" cm="1">
        <f t="array" ref="CA111">IF(ISNUMBER(K111),IF(SUM(BT111:BZ116)/LARGE(_xlfn._xlws.FILTER(Ruimtestaat!BD:BD,Ruimtestaat!BC:BC=BR111),1)&lt;K111,K111*LARGE(_xlfn._xlws.FILTER(Ruimtestaat!BD:BD,Ruimtestaat!BC:BC=BR111),1)-SUM(BT111:BZ116),0),"")</f>
        <v/>
      </c>
      <c r="CB111" s="551">
        <f ca="1">SUM(BT111:CA116)</f>
        <v>0</v>
      </c>
    </row>
    <row r="112" spans="1:80" ht="0.2" customHeight="1" x14ac:dyDescent="0.2">
      <c r="A112" s="172">
        <f ca="1">Ruimtestaat!A112</f>
        <v>2</v>
      </c>
      <c r="B112" s="557"/>
      <c r="C112" s="11">
        <v>204</v>
      </c>
      <c r="D112" s="309"/>
      <c r="E112" s="310"/>
      <c r="F112" s="310"/>
      <c r="G112" s="310"/>
      <c r="H112" s="310"/>
      <c r="I112" s="312"/>
      <c r="J112" s="312"/>
      <c r="K112" s="560"/>
      <c r="L112" s="552"/>
      <c r="M112" s="172" t="b">
        <f>IF(_xlfn.XLOOKUP(BB112,Tabel2[Locatiecode],Tabel2[Type locatie],"",0)="vaccin",TRUE,FALSE)</f>
        <v>0</v>
      </c>
      <c r="BB112" s="272" t="str">
        <f>IF(Ruimtestaat!BC112="","",Ruimtestaat!BC112)</f>
        <v>HLO-HLW</v>
      </c>
      <c r="BC112" s="273">
        <f t="shared" si="2"/>
        <v>204</v>
      </c>
      <c r="BD112" s="274">
        <f ca="1">Ruimtestaat!D112*$BC112</f>
        <v>0</v>
      </c>
      <c r="BE112" s="275">
        <f ca="1">Ruimtestaat!E112*$BC112</f>
        <v>0</v>
      </c>
      <c r="BF112" s="275">
        <f ca="1">Ruimtestaat!F112*$BC112</f>
        <v>0</v>
      </c>
      <c r="BG112" s="275">
        <f ca="1">Ruimtestaat!G112*$BC112</f>
        <v>0</v>
      </c>
      <c r="BH112" s="275">
        <f ca="1">Ruimtestaat!H112*$BC112</f>
        <v>0</v>
      </c>
      <c r="BI112" s="276">
        <f ca="1">Ruimtestaat!I112*$BC112</f>
        <v>0</v>
      </c>
      <c r="BJ112" s="277">
        <f ca="1">Ruimtestaat!J112*$BC112</f>
        <v>0</v>
      </c>
      <c r="BK112" s="552"/>
      <c r="BR112" s="272" t="str">
        <f>IF(Ruimtestaat!BC112="","",Ruimtestaat!BC112)</f>
        <v>HLO-HLW</v>
      </c>
      <c r="BS112" s="273">
        <f t="shared" si="3"/>
        <v>204</v>
      </c>
      <c r="BT112" s="274" t="str">
        <f ca="1">IF(BD112&gt;0,IF(ISNUMBER(Schoonmaaknormen!D112),Schoonmaaknormen!BD112/Schoonmaaknormen!D112,0),"")</f>
        <v/>
      </c>
      <c r="BU112" s="275" t="str">
        <f ca="1">IF(BE112&gt;0,IF(ISNUMBER(Schoonmaaknormen!E112),Schoonmaaknormen!BE112/Schoonmaaknormen!E112,0),"")</f>
        <v/>
      </c>
      <c r="BV112" s="275" t="str">
        <f ca="1">IF(BF112&gt;0,IF(ISNUMBER(Schoonmaaknormen!F112),Schoonmaaknormen!BF112/Schoonmaaknormen!F112,0),"")</f>
        <v/>
      </c>
      <c r="BW112" s="275" t="str">
        <f ca="1">IF(BG112&gt;0,IF(ISNUMBER(Schoonmaaknormen!G112),Schoonmaaknormen!BG112/Schoonmaaknormen!G112,0),"")</f>
        <v/>
      </c>
      <c r="BX112" s="275" t="str">
        <f ca="1">IF(BH112&gt;0,IF(ISNUMBER(Schoonmaaknormen!H112),Schoonmaaknormen!BH112/Schoonmaaknormen!H112,0),"")</f>
        <v/>
      </c>
      <c r="BY112" s="275" t="str">
        <f ca="1">IF(BI112&gt;0,IF(ISNUMBER(Schoonmaaknormen!I112),Schoonmaaknormen!BI112/Schoonmaaknormen!I112,0),"")</f>
        <v/>
      </c>
      <c r="BZ112" s="275" t="str">
        <f ca="1">IF(BJ112&gt;0,IF(ISNUMBER(Schoonmaaknormen!J112),Schoonmaaknormen!BJ112/Schoonmaaknormen!J112,0),"")</f>
        <v/>
      </c>
      <c r="CA112" s="548"/>
      <c r="CB112" s="552"/>
    </row>
    <row r="113" spans="1:80" ht="0.2" customHeight="1" x14ac:dyDescent="0.2">
      <c r="A113" s="172">
        <f ca="1">Ruimtestaat!A113</f>
        <v>2</v>
      </c>
      <c r="B113" s="557"/>
      <c r="C113" s="11">
        <v>156</v>
      </c>
      <c r="D113" s="309"/>
      <c r="E113" s="310"/>
      <c r="F113" s="310"/>
      <c r="G113" s="310"/>
      <c r="H113" s="310"/>
      <c r="I113" s="312"/>
      <c r="J113" s="312"/>
      <c r="K113" s="560"/>
      <c r="L113" s="552"/>
      <c r="M113" s="172" t="b">
        <f>IF(_xlfn.XLOOKUP(BB113,Tabel2[Locatiecode],Tabel2[Type locatie],"",0)="vaccin",TRUE,FALSE)</f>
        <v>0</v>
      </c>
      <c r="BB113" s="272" t="str">
        <f>IF(Ruimtestaat!BC113="","",Ruimtestaat!BC113)</f>
        <v>HLO-HLW</v>
      </c>
      <c r="BC113" s="273">
        <f t="shared" si="2"/>
        <v>156</v>
      </c>
      <c r="BD113" s="274">
        <f ca="1">Ruimtestaat!D113*$BC113</f>
        <v>0</v>
      </c>
      <c r="BE113" s="275">
        <f ca="1">Ruimtestaat!E113*$BC113</f>
        <v>0</v>
      </c>
      <c r="BF113" s="275">
        <f ca="1">Ruimtestaat!F113*$BC113</f>
        <v>0</v>
      </c>
      <c r="BG113" s="275">
        <f ca="1">Ruimtestaat!G113*$BC113</f>
        <v>0</v>
      </c>
      <c r="BH113" s="275">
        <f ca="1">Ruimtestaat!H113*$BC113</f>
        <v>0</v>
      </c>
      <c r="BI113" s="276">
        <f ca="1">Ruimtestaat!I113*$BC113</f>
        <v>0</v>
      </c>
      <c r="BJ113" s="277">
        <f ca="1">Ruimtestaat!J113*$BC113</f>
        <v>0</v>
      </c>
      <c r="BK113" s="552"/>
      <c r="BR113" s="272" t="str">
        <f>IF(Ruimtestaat!BC113="","",Ruimtestaat!BC113)</f>
        <v>HLO-HLW</v>
      </c>
      <c r="BS113" s="273">
        <f t="shared" si="3"/>
        <v>156</v>
      </c>
      <c r="BT113" s="274" t="str">
        <f ca="1">IF(BD113&gt;0,IF(ISNUMBER(Schoonmaaknormen!D113),Schoonmaaknormen!BD113/Schoonmaaknormen!D113,0),"")</f>
        <v/>
      </c>
      <c r="BU113" s="275" t="str">
        <f ca="1">IF(BE113&gt;0,IF(ISNUMBER(Schoonmaaknormen!E113),Schoonmaaknormen!BE113/Schoonmaaknormen!E113,0),"")</f>
        <v/>
      </c>
      <c r="BV113" s="275" t="str">
        <f ca="1">IF(BF113&gt;0,IF(ISNUMBER(Schoonmaaknormen!F113),Schoonmaaknormen!BF113/Schoonmaaknormen!F113,0),"")</f>
        <v/>
      </c>
      <c r="BW113" s="275" t="str">
        <f ca="1">IF(BG113&gt;0,IF(ISNUMBER(Schoonmaaknormen!G113),Schoonmaaknormen!BG113/Schoonmaaknormen!G113,0),"")</f>
        <v/>
      </c>
      <c r="BX113" s="275" t="str">
        <f ca="1">IF(BH113&gt;0,IF(ISNUMBER(Schoonmaaknormen!H113),Schoonmaaknormen!BH113/Schoonmaaknormen!H113,0),"")</f>
        <v/>
      </c>
      <c r="BY113" s="275" t="str">
        <f ca="1">IF(BI113&gt;0,IF(ISNUMBER(Schoonmaaknormen!I113),Schoonmaaknormen!BI113/Schoonmaaknormen!I113,0),"")</f>
        <v/>
      </c>
      <c r="BZ113" s="275" t="str">
        <f ca="1">IF(BJ113&gt;0,IF(ISNUMBER(Schoonmaaknormen!J113),Schoonmaaknormen!BJ113/Schoonmaaknormen!J113,0),"")</f>
        <v/>
      </c>
      <c r="CA113" s="548"/>
      <c r="CB113" s="552"/>
    </row>
    <row r="114" spans="1:80" ht="0.2" customHeight="1" x14ac:dyDescent="0.2">
      <c r="A114" s="172">
        <f ca="1">Ruimtestaat!A114</f>
        <v>2</v>
      </c>
      <c r="B114" s="557"/>
      <c r="C114" s="11">
        <v>104</v>
      </c>
      <c r="D114" s="309"/>
      <c r="E114" s="310"/>
      <c r="F114" s="310"/>
      <c r="G114" s="310"/>
      <c r="H114" s="310"/>
      <c r="I114" s="312"/>
      <c r="J114" s="312"/>
      <c r="K114" s="561"/>
      <c r="L114" s="553"/>
      <c r="M114" s="172" t="b">
        <f>IF(_xlfn.XLOOKUP(BB114,Tabel2[Locatiecode],Tabel2[Type locatie],"",0)="vaccin",TRUE,FALSE)</f>
        <v>0</v>
      </c>
      <c r="BB114" s="278" t="str">
        <f>IF(Ruimtestaat!BC114="","",Ruimtestaat!BC114)</f>
        <v>HLO-HLW</v>
      </c>
      <c r="BC114" s="279">
        <f t="shared" si="2"/>
        <v>104</v>
      </c>
      <c r="BD114" s="280">
        <f ca="1">Ruimtestaat!D114*$BC114</f>
        <v>0</v>
      </c>
      <c r="BE114" s="281">
        <f ca="1">Ruimtestaat!E114*$BC114</f>
        <v>0</v>
      </c>
      <c r="BF114" s="281">
        <f ca="1">Ruimtestaat!F114*$BC114</f>
        <v>0</v>
      </c>
      <c r="BG114" s="281">
        <f ca="1">Ruimtestaat!G114*$BC114</f>
        <v>0</v>
      </c>
      <c r="BH114" s="281">
        <f ca="1">Ruimtestaat!H114*$BC114</f>
        <v>0</v>
      </c>
      <c r="BI114" s="282">
        <f ca="1">Ruimtestaat!I114*$BC114</f>
        <v>0</v>
      </c>
      <c r="BJ114" s="283">
        <f ca="1">Ruimtestaat!J114*$BC114</f>
        <v>0</v>
      </c>
      <c r="BK114" s="553"/>
      <c r="BR114" s="278" t="str">
        <f>IF(Ruimtestaat!BC114="","",Ruimtestaat!BC114)</f>
        <v>HLO-HLW</v>
      </c>
      <c r="BS114" s="313">
        <f t="shared" si="3"/>
        <v>104</v>
      </c>
      <c r="BT114" s="280" t="str">
        <f ca="1">IF(BD114&gt;0,IF(ISNUMBER(Schoonmaaknormen!D114),Schoonmaaknormen!BD114/Schoonmaaknormen!D114,0),"")</f>
        <v/>
      </c>
      <c r="BU114" s="314" t="str">
        <f ca="1">IF(BE114&gt;0,IF(ISNUMBER(Schoonmaaknormen!E114),Schoonmaaknormen!BE114/Schoonmaaknormen!E114,0),"")</f>
        <v/>
      </c>
      <c r="BV114" s="314" t="str">
        <f ca="1">IF(BF114&gt;0,IF(ISNUMBER(Schoonmaaknormen!F114),Schoonmaaknormen!BF114/Schoonmaaknormen!F114,0),"")</f>
        <v/>
      </c>
      <c r="BW114" s="314" t="str">
        <f ca="1">IF(BG114&gt;0,IF(ISNUMBER(Schoonmaaknormen!G114),Schoonmaaknormen!BG114/Schoonmaaknormen!G114,0),"")</f>
        <v/>
      </c>
      <c r="BX114" s="314" t="str">
        <f ca="1">IF(BH114&gt;0,IF(ISNUMBER(Schoonmaaknormen!H114),Schoonmaaknormen!BH114/Schoonmaaknormen!H114,0),"")</f>
        <v/>
      </c>
      <c r="BY114" s="314" t="str">
        <f ca="1">IF(BI114&gt;0,IF(ISNUMBER(Schoonmaaknormen!I114),Schoonmaaknormen!BI114/Schoonmaaknormen!I114,0),"")</f>
        <v/>
      </c>
      <c r="BZ114" s="314" t="str">
        <f ca="1">IF(BJ114&gt;0,IF(ISNUMBER(Schoonmaaknormen!J114),Schoonmaaknormen!BJ114/Schoonmaaknormen!J114,0),"")</f>
        <v/>
      </c>
      <c r="CA114" s="549"/>
      <c r="CB114" s="553"/>
    </row>
    <row r="115" spans="1:80" ht="0.2" customHeight="1" x14ac:dyDescent="0.2">
      <c r="A115" s="172">
        <f ca="1">Ruimtestaat!A115</f>
        <v>2</v>
      </c>
      <c r="B115" s="557"/>
      <c r="C115" s="11">
        <v>52</v>
      </c>
      <c r="D115" s="309"/>
      <c r="E115" s="310"/>
      <c r="F115" s="310"/>
      <c r="G115" s="310"/>
      <c r="H115" s="310"/>
      <c r="I115" s="312"/>
      <c r="J115" s="312"/>
      <c r="K115" s="561"/>
      <c r="L115" s="553"/>
      <c r="M115" s="172" t="b">
        <f>IF(_xlfn.XLOOKUP(BB115,Tabel2[Locatiecode],Tabel2[Type locatie],"",0)="vaccin",TRUE,FALSE)</f>
        <v>0</v>
      </c>
      <c r="BB115" s="284" t="str">
        <f>IF(Ruimtestaat!BC115="","",Ruimtestaat!BC115)</f>
        <v>HLO-HLW</v>
      </c>
      <c r="BC115" s="285">
        <f t="shared" si="2"/>
        <v>52</v>
      </c>
      <c r="BD115" s="286">
        <f ca="1">Ruimtestaat!D115*$BC115</f>
        <v>0</v>
      </c>
      <c r="BE115" s="287">
        <f ca="1">Ruimtestaat!E115*$BC115</f>
        <v>0</v>
      </c>
      <c r="BF115" s="287">
        <f ca="1">Ruimtestaat!F115*$BC115</f>
        <v>0</v>
      </c>
      <c r="BG115" s="287">
        <f ca="1">Ruimtestaat!G115*$BC115</f>
        <v>0</v>
      </c>
      <c r="BH115" s="287">
        <f ca="1">Ruimtestaat!H115*$BC115</f>
        <v>0</v>
      </c>
      <c r="BI115" s="288">
        <f ca="1">Ruimtestaat!I115*$BC115</f>
        <v>0</v>
      </c>
      <c r="BJ115" s="289">
        <f ca="1">Ruimtestaat!J115*$BC115</f>
        <v>0</v>
      </c>
      <c r="BK115" s="553"/>
      <c r="BR115" s="284" t="str">
        <f>IF(Ruimtestaat!BC115="","",Ruimtestaat!BC115)</f>
        <v>HLO-HLW</v>
      </c>
      <c r="BS115" s="285">
        <f t="shared" si="3"/>
        <v>52</v>
      </c>
      <c r="BT115" s="286" t="str">
        <f ca="1">IF(BD115&gt;0,IF(ISNUMBER(Schoonmaaknormen!D115),Schoonmaaknormen!BD115/Schoonmaaknormen!D115,0),"")</f>
        <v/>
      </c>
      <c r="BU115" s="287" t="str">
        <f ca="1">IF(BE115&gt;0,IF(ISNUMBER(Schoonmaaknormen!E115),Schoonmaaknormen!BE115/Schoonmaaknormen!E115,0),"")</f>
        <v/>
      </c>
      <c r="BV115" s="287" t="str">
        <f ca="1">IF(BF115&gt;0,IF(ISNUMBER(Schoonmaaknormen!F115),Schoonmaaknormen!BF115/Schoonmaaknormen!F115,0),"")</f>
        <v/>
      </c>
      <c r="BW115" s="287" t="str">
        <f ca="1">IF(BG115&gt;0,IF(ISNUMBER(Schoonmaaknormen!G115),Schoonmaaknormen!BG115/Schoonmaaknormen!G115,0),"")</f>
        <v/>
      </c>
      <c r="BX115" s="287" t="str">
        <f ca="1">IF(BH115&gt;0,IF(ISNUMBER(Schoonmaaknormen!H115),Schoonmaaknormen!BH115/Schoonmaaknormen!H115,0),"")</f>
        <v/>
      </c>
      <c r="BY115" s="287" t="str">
        <f ca="1">IF(BI115&gt;0,IF(ISNUMBER(Schoonmaaknormen!I115),Schoonmaaknormen!BI115/Schoonmaaknormen!I115,0),"")</f>
        <v/>
      </c>
      <c r="BZ115" s="287" t="str">
        <f ca="1">IF(BJ115&gt;0,IF(ISNUMBER(Schoonmaaknormen!J115),Schoonmaaknormen!BJ115/Schoonmaaknormen!J115,0),"")</f>
        <v/>
      </c>
      <c r="CA115" s="549"/>
      <c r="CB115" s="553"/>
    </row>
    <row r="116" spans="1:80" ht="0.2" customHeight="1" x14ac:dyDescent="0.2">
      <c r="A116" s="172">
        <f ca="1">Ruimtestaat!A116</f>
        <v>2</v>
      </c>
      <c r="B116" s="558"/>
      <c r="C116" s="290">
        <v>4</v>
      </c>
      <c r="D116" s="186"/>
      <c r="E116" s="187"/>
      <c r="F116" s="187"/>
      <c r="G116" s="187"/>
      <c r="H116" s="187"/>
      <c r="I116" s="189"/>
      <c r="J116" s="189"/>
      <c r="K116" s="562"/>
      <c r="L116" s="554"/>
      <c r="M116" s="172" t="b">
        <f>IF(_xlfn.XLOOKUP(BB116,Tabel2[Locatiecode],Tabel2[Type locatie],"",0)="vaccin",TRUE,FALSE)</f>
        <v>0</v>
      </c>
      <c r="BB116" s="291" t="str">
        <f>IF(Ruimtestaat!BC116="","",Ruimtestaat!BC116)</f>
        <v>HLO-HLW</v>
      </c>
      <c r="BC116" s="292">
        <f t="shared" si="2"/>
        <v>4</v>
      </c>
      <c r="BD116" s="293">
        <f ca="1">Ruimtestaat!D116*$BC116</f>
        <v>0</v>
      </c>
      <c r="BE116" s="294">
        <f ca="1">Ruimtestaat!E116*$BC116</f>
        <v>0</v>
      </c>
      <c r="BF116" s="294">
        <f ca="1">Ruimtestaat!F116*$BC116</f>
        <v>0</v>
      </c>
      <c r="BG116" s="294">
        <f ca="1">Ruimtestaat!G116*$BC116</f>
        <v>0</v>
      </c>
      <c r="BH116" s="294">
        <f ca="1">Ruimtestaat!H116*$BC116</f>
        <v>0</v>
      </c>
      <c r="BI116" s="295">
        <f ca="1">Ruimtestaat!I116*$BC116</f>
        <v>0</v>
      </c>
      <c r="BJ116" s="296">
        <f ca="1">Ruimtestaat!J116*$BC116</f>
        <v>0</v>
      </c>
      <c r="BK116" s="554"/>
      <c r="BR116" s="291" t="str">
        <f>IF(Ruimtestaat!BC116="","",Ruimtestaat!BC116)</f>
        <v>HLO-HLW</v>
      </c>
      <c r="BS116" s="292">
        <f t="shared" si="3"/>
        <v>4</v>
      </c>
      <c r="BT116" s="293" t="str">
        <f ca="1">IF(BD116&gt;0,IF(ISNUMBER(Schoonmaaknormen!D116),Schoonmaaknormen!BD116/Schoonmaaknormen!D116,0),"")</f>
        <v/>
      </c>
      <c r="BU116" s="294" t="str">
        <f ca="1">IF(BE116&gt;0,IF(ISNUMBER(Schoonmaaknormen!E116),Schoonmaaknormen!BE116/Schoonmaaknormen!E116,0),"")</f>
        <v/>
      </c>
      <c r="BV116" s="294" t="str">
        <f ca="1">IF(BF116&gt;0,IF(ISNUMBER(Schoonmaaknormen!F116),Schoonmaaknormen!BF116/Schoonmaaknormen!F116,0),"")</f>
        <v/>
      </c>
      <c r="BW116" s="294" t="str">
        <f ca="1">IF(BG116&gt;0,IF(ISNUMBER(Schoonmaaknormen!G116),Schoonmaaknormen!BG116/Schoonmaaknormen!G116,0),"")</f>
        <v/>
      </c>
      <c r="BX116" s="294" t="str">
        <f ca="1">IF(BH116&gt;0,IF(ISNUMBER(Schoonmaaknormen!H116),Schoonmaaknormen!BH116/Schoonmaaknormen!H116,0),"")</f>
        <v/>
      </c>
      <c r="BY116" s="294" t="str">
        <f ca="1">IF(BI116&gt;0,IF(ISNUMBER(Schoonmaaknormen!I116),Schoonmaaknormen!BI116/Schoonmaaknormen!I116,0),"")</f>
        <v/>
      </c>
      <c r="BZ116" s="294" t="str">
        <f ca="1">IF(BJ116&gt;0,IF(ISNUMBER(Schoonmaaknormen!J116),Schoonmaaknormen!BJ116/Schoonmaaknormen!J116,0),"")</f>
        <v/>
      </c>
      <c r="CA116" s="555"/>
      <c r="CB116" s="554"/>
    </row>
    <row r="117" spans="1:80" ht="15" customHeight="1" x14ac:dyDescent="0.2">
      <c r="A117" s="172">
        <f ca="1">Ruimtestaat!A117</f>
        <v>1</v>
      </c>
      <c r="B117" s="556" t="str">
        <f>BB117</f>
        <v>HRN-MSS</v>
      </c>
      <c r="C117" s="298">
        <v>255</v>
      </c>
      <c r="D117" s="299"/>
      <c r="E117" s="300"/>
      <c r="F117" s="300"/>
      <c r="G117" s="300"/>
      <c r="H117" s="300"/>
      <c r="I117" s="302"/>
      <c r="J117" s="302"/>
      <c r="K117" s="559"/>
      <c r="L117" s="551" t="str" cm="1">
        <f t="array" aca="1" ref="L117" ca="1">_xlfn.IFS(A117=2,"",COUNTBLANK(D117:J122)=COUNTIF(Ruimtestaat!D117:J122,"&lt;=0"),BK117/CB117,TRUE,"")</f>
        <v/>
      </c>
      <c r="M117" s="172" t="b">
        <f>IF(_xlfn.XLOOKUP(BB117,Tabel2[Locatiecode],Tabel2[Type locatie],"",0)="vaccin",TRUE,FALSE)</f>
        <v>0</v>
      </c>
      <c r="BB117" s="303" t="str">
        <f>IF(Ruimtestaat!BC117="","",Ruimtestaat!BC117)</f>
        <v>HRN-MSS</v>
      </c>
      <c r="BC117" s="304">
        <f t="shared" si="2"/>
        <v>255</v>
      </c>
      <c r="BD117" s="305">
        <f ca="1">Ruimtestaat!D117*$BC117</f>
        <v>11730</v>
      </c>
      <c r="BE117" s="306">
        <f ca="1">Ruimtestaat!E117*$BC117</f>
        <v>131554.5</v>
      </c>
      <c r="BF117" s="306">
        <f ca="1">Ruimtestaat!F117*$BC117</f>
        <v>41871</v>
      </c>
      <c r="BG117" s="306">
        <f ca="1">Ruimtestaat!G117*$BC117</f>
        <v>0</v>
      </c>
      <c r="BH117" s="306">
        <f ca="1">Ruimtestaat!H117*$BC117</f>
        <v>4258.5</v>
      </c>
      <c r="BI117" s="307">
        <f ca="1">Ruimtestaat!I117*$BC117</f>
        <v>78234</v>
      </c>
      <c r="BJ117" s="308">
        <f ca="1">Ruimtestaat!J117*$BC117</f>
        <v>0</v>
      </c>
      <c r="BK117" s="552">
        <f ca="1">SUM(BD117:BJ122)</f>
        <v>267648</v>
      </c>
      <c r="BR117" s="303" t="str">
        <f>IF(Ruimtestaat!BC117="","",Ruimtestaat!BC117)</f>
        <v>HRN-MSS</v>
      </c>
      <c r="BS117" s="304">
        <f t="shared" si="3"/>
        <v>255</v>
      </c>
      <c r="BT117" s="305">
        <f ca="1">IF(BD117&gt;0,IF(ISNUMBER(Schoonmaaknormen!D117),Schoonmaaknormen!BD117/Schoonmaaknormen!D117,0),"")</f>
        <v>0</v>
      </c>
      <c r="BU117" s="306">
        <f ca="1">IF(BE117&gt;0,IF(ISNUMBER(Schoonmaaknormen!E117),Schoonmaaknormen!BE117/Schoonmaaknormen!E117,0),"")</f>
        <v>0</v>
      </c>
      <c r="BV117" s="306">
        <f ca="1">IF(BF117&gt;0,IF(ISNUMBER(Schoonmaaknormen!F117),Schoonmaaknormen!BF117/Schoonmaaknormen!F117,0),"")</f>
        <v>0</v>
      </c>
      <c r="BW117" s="306" t="str">
        <f ca="1">IF(BG117&gt;0,IF(ISNUMBER(Schoonmaaknormen!G117),Schoonmaaknormen!BG117/Schoonmaaknormen!G117,0),"")</f>
        <v/>
      </c>
      <c r="BX117" s="306">
        <f ca="1">IF(BH117&gt;0,IF(ISNUMBER(Schoonmaaknormen!H117),Schoonmaaknormen!BH117/Schoonmaaknormen!H117,0),"")</f>
        <v>0</v>
      </c>
      <c r="BY117" s="306">
        <f ca="1">IF(BI117&gt;0,IF(ISNUMBER(Schoonmaaknormen!I117),Schoonmaaknormen!BI117/Schoonmaaknormen!I117,0),"")</f>
        <v>0</v>
      </c>
      <c r="BZ117" s="306" t="str">
        <f ca="1">IF(BJ117&gt;0,IF(ISNUMBER(Schoonmaaknormen!J117),Schoonmaaknormen!BJ117/Schoonmaaknormen!J117,0),"")</f>
        <v/>
      </c>
      <c r="CA117" s="547" t="str" cm="1">
        <f t="array" ref="CA117">IF(ISNUMBER(K117),IF(SUM(BT117:BZ122)/LARGE(_xlfn._xlws.FILTER(Ruimtestaat!BD:BD,Ruimtestaat!BC:BC=BR117),1)&lt;K117,K117*LARGE(_xlfn._xlws.FILTER(Ruimtestaat!BD:BD,Ruimtestaat!BC:BC=BR117),1)-SUM(BT117:BZ122),0),"")</f>
        <v/>
      </c>
      <c r="CB117" s="551">
        <f ca="1">SUM(BT117:CA122)</f>
        <v>0</v>
      </c>
    </row>
    <row r="118" spans="1:80" ht="0.2" customHeight="1" x14ac:dyDescent="0.2">
      <c r="A118" s="172">
        <f ca="1">Ruimtestaat!A118</f>
        <v>2</v>
      </c>
      <c r="B118" s="557"/>
      <c r="C118" s="11">
        <v>204</v>
      </c>
      <c r="D118" s="309"/>
      <c r="E118" s="310"/>
      <c r="F118" s="310"/>
      <c r="G118" s="310"/>
      <c r="H118" s="310"/>
      <c r="I118" s="312"/>
      <c r="J118" s="312"/>
      <c r="K118" s="560"/>
      <c r="L118" s="552"/>
      <c r="M118" s="172" t="b">
        <f>IF(_xlfn.XLOOKUP(BB118,Tabel2[Locatiecode],Tabel2[Type locatie],"",0)="vaccin",TRUE,FALSE)</f>
        <v>0</v>
      </c>
      <c r="BB118" s="272" t="str">
        <f>IF(Ruimtestaat!BC118="","",Ruimtestaat!BC118)</f>
        <v>HRN-MSS</v>
      </c>
      <c r="BC118" s="273">
        <f t="shared" si="2"/>
        <v>204</v>
      </c>
      <c r="BD118" s="274">
        <f ca="1">Ruimtestaat!D118*$BC118</f>
        <v>0</v>
      </c>
      <c r="BE118" s="275">
        <f ca="1">Ruimtestaat!E118*$BC118</f>
        <v>0</v>
      </c>
      <c r="BF118" s="275">
        <f ca="1">Ruimtestaat!F118*$BC118</f>
        <v>0</v>
      </c>
      <c r="BG118" s="275">
        <f ca="1">Ruimtestaat!G118*$BC118</f>
        <v>0</v>
      </c>
      <c r="BH118" s="275">
        <f ca="1">Ruimtestaat!H118*$BC118</f>
        <v>0</v>
      </c>
      <c r="BI118" s="276">
        <f ca="1">Ruimtestaat!I118*$BC118</f>
        <v>0</v>
      </c>
      <c r="BJ118" s="277">
        <f ca="1">Ruimtestaat!J118*$BC118</f>
        <v>0</v>
      </c>
      <c r="BK118" s="552"/>
      <c r="BR118" s="272" t="str">
        <f>IF(Ruimtestaat!BC118="","",Ruimtestaat!BC118)</f>
        <v>HRN-MSS</v>
      </c>
      <c r="BS118" s="273">
        <f t="shared" si="3"/>
        <v>204</v>
      </c>
      <c r="BT118" s="274" t="str">
        <f ca="1">IF(BD118&gt;0,IF(ISNUMBER(Schoonmaaknormen!D118),Schoonmaaknormen!BD118/Schoonmaaknormen!D118,0),"")</f>
        <v/>
      </c>
      <c r="BU118" s="275" t="str">
        <f ca="1">IF(BE118&gt;0,IF(ISNUMBER(Schoonmaaknormen!E118),Schoonmaaknormen!BE118/Schoonmaaknormen!E118,0),"")</f>
        <v/>
      </c>
      <c r="BV118" s="275" t="str">
        <f ca="1">IF(BF118&gt;0,IF(ISNUMBER(Schoonmaaknormen!F118),Schoonmaaknormen!BF118/Schoonmaaknormen!F118,0),"")</f>
        <v/>
      </c>
      <c r="BW118" s="275" t="str">
        <f ca="1">IF(BG118&gt;0,IF(ISNUMBER(Schoonmaaknormen!G118),Schoonmaaknormen!BG118/Schoonmaaknormen!G118,0),"")</f>
        <v/>
      </c>
      <c r="BX118" s="275" t="str">
        <f ca="1">IF(BH118&gt;0,IF(ISNUMBER(Schoonmaaknormen!H118),Schoonmaaknormen!BH118/Schoonmaaknormen!H118,0),"")</f>
        <v/>
      </c>
      <c r="BY118" s="275" t="str">
        <f ca="1">IF(BI118&gt;0,IF(ISNUMBER(Schoonmaaknormen!I118),Schoonmaaknormen!BI118/Schoonmaaknormen!I118,0),"")</f>
        <v/>
      </c>
      <c r="BZ118" s="275" t="str">
        <f ca="1">IF(BJ118&gt;0,IF(ISNUMBER(Schoonmaaknormen!J118),Schoonmaaknormen!BJ118/Schoonmaaknormen!J118,0),"")</f>
        <v/>
      </c>
      <c r="CA118" s="548"/>
      <c r="CB118" s="552"/>
    </row>
    <row r="119" spans="1:80" ht="0.2" customHeight="1" x14ac:dyDescent="0.2">
      <c r="A119" s="172">
        <f ca="1">Ruimtestaat!A119</f>
        <v>2</v>
      </c>
      <c r="B119" s="557"/>
      <c r="C119" s="11">
        <v>156</v>
      </c>
      <c r="D119" s="309"/>
      <c r="E119" s="310"/>
      <c r="F119" s="310"/>
      <c r="G119" s="310"/>
      <c r="H119" s="310"/>
      <c r="I119" s="312"/>
      <c r="J119" s="312"/>
      <c r="K119" s="560"/>
      <c r="L119" s="552"/>
      <c r="M119" s="172" t="b">
        <f>IF(_xlfn.XLOOKUP(BB119,Tabel2[Locatiecode],Tabel2[Type locatie],"",0)="vaccin",TRUE,FALSE)</f>
        <v>0</v>
      </c>
      <c r="BB119" s="272" t="str">
        <f>IF(Ruimtestaat!BC119="","",Ruimtestaat!BC119)</f>
        <v>HRN-MSS</v>
      </c>
      <c r="BC119" s="273">
        <f t="shared" si="2"/>
        <v>156</v>
      </c>
      <c r="BD119" s="274">
        <f ca="1">Ruimtestaat!D119*$BC119</f>
        <v>0</v>
      </c>
      <c r="BE119" s="275">
        <f ca="1">Ruimtestaat!E119*$BC119</f>
        <v>0</v>
      </c>
      <c r="BF119" s="275">
        <f ca="1">Ruimtestaat!F119*$BC119</f>
        <v>0</v>
      </c>
      <c r="BG119" s="275">
        <f ca="1">Ruimtestaat!G119*$BC119</f>
        <v>0</v>
      </c>
      <c r="BH119" s="275">
        <f ca="1">Ruimtestaat!H119*$BC119</f>
        <v>0</v>
      </c>
      <c r="BI119" s="276">
        <f ca="1">Ruimtestaat!I119*$BC119</f>
        <v>0</v>
      </c>
      <c r="BJ119" s="277">
        <f ca="1">Ruimtestaat!J119*$BC119</f>
        <v>0</v>
      </c>
      <c r="BK119" s="552"/>
      <c r="BR119" s="272" t="str">
        <f>IF(Ruimtestaat!BC119="","",Ruimtestaat!BC119)</f>
        <v>HRN-MSS</v>
      </c>
      <c r="BS119" s="273">
        <f t="shared" si="3"/>
        <v>156</v>
      </c>
      <c r="BT119" s="274" t="str">
        <f ca="1">IF(BD119&gt;0,IF(ISNUMBER(Schoonmaaknormen!D119),Schoonmaaknormen!BD119/Schoonmaaknormen!D119,0),"")</f>
        <v/>
      </c>
      <c r="BU119" s="275" t="str">
        <f ca="1">IF(BE119&gt;0,IF(ISNUMBER(Schoonmaaknormen!E119),Schoonmaaknormen!BE119/Schoonmaaknormen!E119,0),"")</f>
        <v/>
      </c>
      <c r="BV119" s="275" t="str">
        <f ca="1">IF(BF119&gt;0,IF(ISNUMBER(Schoonmaaknormen!F119),Schoonmaaknormen!BF119/Schoonmaaknormen!F119,0),"")</f>
        <v/>
      </c>
      <c r="BW119" s="275" t="str">
        <f ca="1">IF(BG119&gt;0,IF(ISNUMBER(Schoonmaaknormen!G119),Schoonmaaknormen!BG119/Schoonmaaknormen!G119,0),"")</f>
        <v/>
      </c>
      <c r="BX119" s="275" t="str">
        <f ca="1">IF(BH119&gt;0,IF(ISNUMBER(Schoonmaaknormen!H119),Schoonmaaknormen!BH119/Schoonmaaknormen!H119,0),"")</f>
        <v/>
      </c>
      <c r="BY119" s="275" t="str">
        <f ca="1">IF(BI119&gt;0,IF(ISNUMBER(Schoonmaaknormen!I119),Schoonmaaknormen!BI119/Schoonmaaknormen!I119,0),"")</f>
        <v/>
      </c>
      <c r="BZ119" s="275" t="str">
        <f ca="1">IF(BJ119&gt;0,IF(ISNUMBER(Schoonmaaknormen!J119),Schoonmaaknormen!BJ119/Schoonmaaknormen!J119,0),"")</f>
        <v/>
      </c>
      <c r="CA119" s="548"/>
      <c r="CB119" s="552"/>
    </row>
    <row r="120" spans="1:80" ht="0.2" customHeight="1" x14ac:dyDescent="0.2">
      <c r="A120" s="172">
        <f ca="1">Ruimtestaat!A120</f>
        <v>2</v>
      </c>
      <c r="B120" s="557"/>
      <c r="C120" s="11">
        <v>104</v>
      </c>
      <c r="D120" s="309"/>
      <c r="E120" s="310"/>
      <c r="F120" s="310"/>
      <c r="G120" s="310"/>
      <c r="H120" s="310"/>
      <c r="I120" s="312"/>
      <c r="J120" s="312"/>
      <c r="K120" s="561"/>
      <c r="L120" s="553"/>
      <c r="M120" s="172" t="b">
        <f>IF(_xlfn.XLOOKUP(BB120,Tabel2[Locatiecode],Tabel2[Type locatie],"",0)="vaccin",TRUE,FALSE)</f>
        <v>0</v>
      </c>
      <c r="BB120" s="278" t="str">
        <f>IF(Ruimtestaat!BC120="","",Ruimtestaat!BC120)</f>
        <v>HRN-MSS</v>
      </c>
      <c r="BC120" s="279">
        <f t="shared" si="2"/>
        <v>104</v>
      </c>
      <c r="BD120" s="280">
        <f ca="1">Ruimtestaat!D120*$BC120</f>
        <v>0</v>
      </c>
      <c r="BE120" s="281">
        <f ca="1">Ruimtestaat!E120*$BC120</f>
        <v>0</v>
      </c>
      <c r="BF120" s="281">
        <f ca="1">Ruimtestaat!F120*$BC120</f>
        <v>0</v>
      </c>
      <c r="BG120" s="281">
        <f ca="1">Ruimtestaat!G120*$BC120</f>
        <v>0</v>
      </c>
      <c r="BH120" s="281">
        <f ca="1">Ruimtestaat!H120*$BC120</f>
        <v>0</v>
      </c>
      <c r="BI120" s="282">
        <f ca="1">Ruimtestaat!I120*$BC120</f>
        <v>0</v>
      </c>
      <c r="BJ120" s="283">
        <f ca="1">Ruimtestaat!J120*$BC120</f>
        <v>0</v>
      </c>
      <c r="BK120" s="553"/>
      <c r="BR120" s="278" t="str">
        <f>IF(Ruimtestaat!BC120="","",Ruimtestaat!BC120)</f>
        <v>HRN-MSS</v>
      </c>
      <c r="BS120" s="313">
        <f t="shared" si="3"/>
        <v>104</v>
      </c>
      <c r="BT120" s="280" t="str">
        <f ca="1">IF(BD120&gt;0,IF(ISNUMBER(Schoonmaaknormen!D120),Schoonmaaknormen!BD120/Schoonmaaknormen!D120,0),"")</f>
        <v/>
      </c>
      <c r="BU120" s="314" t="str">
        <f ca="1">IF(BE120&gt;0,IF(ISNUMBER(Schoonmaaknormen!E120),Schoonmaaknormen!BE120/Schoonmaaknormen!E120,0),"")</f>
        <v/>
      </c>
      <c r="BV120" s="314" t="str">
        <f ca="1">IF(BF120&gt;0,IF(ISNUMBER(Schoonmaaknormen!F120),Schoonmaaknormen!BF120/Schoonmaaknormen!F120,0),"")</f>
        <v/>
      </c>
      <c r="BW120" s="314" t="str">
        <f ca="1">IF(BG120&gt;0,IF(ISNUMBER(Schoonmaaknormen!G120),Schoonmaaknormen!BG120/Schoonmaaknormen!G120,0),"")</f>
        <v/>
      </c>
      <c r="BX120" s="314" t="str">
        <f ca="1">IF(BH120&gt;0,IF(ISNUMBER(Schoonmaaknormen!H120),Schoonmaaknormen!BH120/Schoonmaaknormen!H120,0),"")</f>
        <v/>
      </c>
      <c r="BY120" s="314" t="str">
        <f ca="1">IF(BI120&gt;0,IF(ISNUMBER(Schoonmaaknormen!I120),Schoonmaaknormen!BI120/Schoonmaaknormen!I120,0),"")</f>
        <v/>
      </c>
      <c r="BZ120" s="314" t="str">
        <f ca="1">IF(BJ120&gt;0,IF(ISNUMBER(Schoonmaaknormen!J120),Schoonmaaknormen!BJ120/Schoonmaaknormen!J120,0),"")</f>
        <v/>
      </c>
      <c r="CA120" s="549"/>
      <c r="CB120" s="553"/>
    </row>
    <row r="121" spans="1:80" ht="0.2" customHeight="1" x14ac:dyDescent="0.2">
      <c r="A121" s="172">
        <f ca="1">Ruimtestaat!A121</f>
        <v>2</v>
      </c>
      <c r="B121" s="557"/>
      <c r="C121" s="11">
        <v>52</v>
      </c>
      <c r="D121" s="309"/>
      <c r="E121" s="310"/>
      <c r="F121" s="310"/>
      <c r="G121" s="310"/>
      <c r="H121" s="310"/>
      <c r="I121" s="312"/>
      <c r="J121" s="312"/>
      <c r="K121" s="561"/>
      <c r="L121" s="553"/>
      <c r="M121" s="172" t="b">
        <f>IF(_xlfn.XLOOKUP(BB121,Tabel2[Locatiecode],Tabel2[Type locatie],"",0)="vaccin",TRUE,FALSE)</f>
        <v>0</v>
      </c>
      <c r="BB121" s="284" t="str">
        <f>IF(Ruimtestaat!BC121="","",Ruimtestaat!BC121)</f>
        <v>HRN-MSS</v>
      </c>
      <c r="BC121" s="285">
        <f t="shared" si="2"/>
        <v>52</v>
      </c>
      <c r="BD121" s="286">
        <f ca="1">Ruimtestaat!D121*$BC121</f>
        <v>0</v>
      </c>
      <c r="BE121" s="287">
        <f ca="1">Ruimtestaat!E121*$BC121</f>
        <v>0</v>
      </c>
      <c r="BF121" s="287">
        <f ca="1">Ruimtestaat!F121*$BC121</f>
        <v>0</v>
      </c>
      <c r="BG121" s="287">
        <f ca="1">Ruimtestaat!G121*$BC121</f>
        <v>0</v>
      </c>
      <c r="BH121" s="287">
        <f ca="1">Ruimtestaat!H121*$BC121</f>
        <v>0</v>
      </c>
      <c r="BI121" s="288">
        <f ca="1">Ruimtestaat!I121*$BC121</f>
        <v>0</v>
      </c>
      <c r="BJ121" s="289">
        <f ca="1">Ruimtestaat!J121*$BC121</f>
        <v>0</v>
      </c>
      <c r="BK121" s="553"/>
      <c r="BR121" s="284" t="str">
        <f>IF(Ruimtestaat!BC121="","",Ruimtestaat!BC121)</f>
        <v>HRN-MSS</v>
      </c>
      <c r="BS121" s="285">
        <f t="shared" si="3"/>
        <v>52</v>
      </c>
      <c r="BT121" s="286" t="str">
        <f ca="1">IF(BD121&gt;0,IF(ISNUMBER(Schoonmaaknormen!D121),Schoonmaaknormen!BD121/Schoonmaaknormen!D121,0),"")</f>
        <v/>
      </c>
      <c r="BU121" s="287" t="str">
        <f ca="1">IF(BE121&gt;0,IF(ISNUMBER(Schoonmaaknormen!E121),Schoonmaaknormen!BE121/Schoonmaaknormen!E121,0),"")</f>
        <v/>
      </c>
      <c r="BV121" s="287" t="str">
        <f ca="1">IF(BF121&gt;0,IF(ISNUMBER(Schoonmaaknormen!F121),Schoonmaaknormen!BF121/Schoonmaaknormen!F121,0),"")</f>
        <v/>
      </c>
      <c r="BW121" s="287" t="str">
        <f ca="1">IF(BG121&gt;0,IF(ISNUMBER(Schoonmaaknormen!G121),Schoonmaaknormen!BG121/Schoonmaaknormen!G121,0),"")</f>
        <v/>
      </c>
      <c r="BX121" s="287" t="str">
        <f ca="1">IF(BH121&gt;0,IF(ISNUMBER(Schoonmaaknormen!H121),Schoonmaaknormen!BH121/Schoonmaaknormen!H121,0),"")</f>
        <v/>
      </c>
      <c r="BY121" s="287" t="str">
        <f ca="1">IF(BI121&gt;0,IF(ISNUMBER(Schoonmaaknormen!I121),Schoonmaaknormen!BI121/Schoonmaaknormen!I121,0),"")</f>
        <v/>
      </c>
      <c r="BZ121" s="287" t="str">
        <f ca="1">IF(BJ121&gt;0,IF(ISNUMBER(Schoonmaaknormen!J121),Schoonmaaknormen!BJ121/Schoonmaaknormen!J121,0),"")</f>
        <v/>
      </c>
      <c r="CA121" s="549"/>
      <c r="CB121" s="553"/>
    </row>
    <row r="122" spans="1:80" ht="0.2" customHeight="1" x14ac:dyDescent="0.2">
      <c r="A122" s="172">
        <f ca="1">Ruimtestaat!A122</f>
        <v>2</v>
      </c>
      <c r="B122" s="558"/>
      <c r="C122" s="290">
        <v>4</v>
      </c>
      <c r="D122" s="186"/>
      <c r="E122" s="187"/>
      <c r="F122" s="187"/>
      <c r="G122" s="187"/>
      <c r="H122" s="187"/>
      <c r="I122" s="189"/>
      <c r="J122" s="189"/>
      <c r="K122" s="562"/>
      <c r="L122" s="554"/>
      <c r="M122" s="172" t="b">
        <f>IF(_xlfn.XLOOKUP(BB122,Tabel2[Locatiecode],Tabel2[Type locatie],"",0)="vaccin",TRUE,FALSE)</f>
        <v>0</v>
      </c>
      <c r="BB122" s="291" t="str">
        <f>IF(Ruimtestaat!BC122="","",Ruimtestaat!BC122)</f>
        <v>HRN-MSS</v>
      </c>
      <c r="BC122" s="292">
        <f t="shared" si="2"/>
        <v>4</v>
      </c>
      <c r="BD122" s="293">
        <f ca="1">Ruimtestaat!D122*$BC122</f>
        <v>0</v>
      </c>
      <c r="BE122" s="294">
        <f ca="1">Ruimtestaat!E122*$BC122</f>
        <v>0</v>
      </c>
      <c r="BF122" s="294">
        <f ca="1">Ruimtestaat!F122*$BC122</f>
        <v>0</v>
      </c>
      <c r="BG122" s="294">
        <f ca="1">Ruimtestaat!G122*$BC122</f>
        <v>0</v>
      </c>
      <c r="BH122" s="294">
        <f ca="1">Ruimtestaat!H122*$BC122</f>
        <v>0</v>
      </c>
      <c r="BI122" s="295">
        <f ca="1">Ruimtestaat!I122*$BC122</f>
        <v>0</v>
      </c>
      <c r="BJ122" s="296">
        <f ca="1">Ruimtestaat!J122*$BC122</f>
        <v>0</v>
      </c>
      <c r="BK122" s="554"/>
      <c r="BR122" s="291" t="str">
        <f>IF(Ruimtestaat!BC122="","",Ruimtestaat!BC122)</f>
        <v>HRN-MSS</v>
      </c>
      <c r="BS122" s="292">
        <f t="shared" si="3"/>
        <v>4</v>
      </c>
      <c r="BT122" s="293" t="str">
        <f ca="1">IF(BD122&gt;0,IF(ISNUMBER(Schoonmaaknormen!D122),Schoonmaaknormen!BD122/Schoonmaaknormen!D122,0),"")</f>
        <v/>
      </c>
      <c r="BU122" s="294" t="str">
        <f ca="1">IF(BE122&gt;0,IF(ISNUMBER(Schoonmaaknormen!E122),Schoonmaaknormen!BE122/Schoonmaaknormen!E122,0),"")</f>
        <v/>
      </c>
      <c r="BV122" s="294" t="str">
        <f ca="1">IF(BF122&gt;0,IF(ISNUMBER(Schoonmaaknormen!F122),Schoonmaaknormen!BF122/Schoonmaaknormen!F122,0),"")</f>
        <v/>
      </c>
      <c r="BW122" s="294" t="str">
        <f ca="1">IF(BG122&gt;0,IF(ISNUMBER(Schoonmaaknormen!G122),Schoonmaaknormen!BG122/Schoonmaaknormen!G122,0),"")</f>
        <v/>
      </c>
      <c r="BX122" s="294" t="str">
        <f ca="1">IF(BH122&gt;0,IF(ISNUMBER(Schoonmaaknormen!H122),Schoonmaaknormen!BH122/Schoonmaaknormen!H122,0),"")</f>
        <v/>
      </c>
      <c r="BY122" s="294" t="str">
        <f ca="1">IF(BI122&gt;0,IF(ISNUMBER(Schoonmaaknormen!I122),Schoonmaaknormen!BI122/Schoonmaaknormen!I122,0),"")</f>
        <v/>
      </c>
      <c r="BZ122" s="294" t="str">
        <f ca="1">IF(BJ122&gt;0,IF(ISNUMBER(Schoonmaaknormen!J122),Schoonmaaknormen!BJ122/Schoonmaaknormen!J122,0),"")</f>
        <v/>
      </c>
      <c r="CA122" s="555"/>
      <c r="CB122" s="554"/>
    </row>
    <row r="123" spans="1:80" ht="15" customHeight="1" x14ac:dyDescent="0.2">
      <c r="A123" s="172">
        <f ca="1">Ruimtestaat!A123</f>
        <v>1</v>
      </c>
      <c r="B123" s="556" t="str">
        <f>BB123</f>
        <v>HVH-TWG</v>
      </c>
      <c r="C123" s="298">
        <v>255</v>
      </c>
      <c r="D123" s="299"/>
      <c r="E123" s="300"/>
      <c r="F123" s="300"/>
      <c r="G123" s="300"/>
      <c r="H123" s="300"/>
      <c r="I123" s="302"/>
      <c r="J123" s="302"/>
      <c r="K123" s="559"/>
      <c r="L123" s="551" t="str" cm="1">
        <f t="array" aca="1" ref="L123" ca="1">_xlfn.IFS(A123=2,"",COUNTBLANK(D123:J128)=COUNTIF(Ruimtestaat!D123:J128,"&lt;=0"),BK123/CB123,TRUE,"")</f>
        <v/>
      </c>
      <c r="M123" s="172" t="b">
        <f>IF(_xlfn.XLOOKUP(BB123,Tabel2[Locatiecode],Tabel2[Type locatie],"",0)="vaccin",TRUE,FALSE)</f>
        <v>1</v>
      </c>
      <c r="BB123" s="303" t="str">
        <f>IF(Ruimtestaat!BC123="","",Ruimtestaat!BC123)</f>
        <v>HVH-TWG</v>
      </c>
      <c r="BC123" s="304">
        <f t="shared" si="2"/>
        <v>255</v>
      </c>
      <c r="BD123" s="305">
        <f ca="1">Ruimtestaat!D123*$BC123</f>
        <v>0</v>
      </c>
      <c r="BE123" s="306">
        <f ca="1">Ruimtestaat!E123*$BC123</f>
        <v>23205</v>
      </c>
      <c r="BF123" s="306">
        <f ca="1">Ruimtestaat!F123*$BC123</f>
        <v>7905</v>
      </c>
      <c r="BG123" s="306">
        <f ca="1">Ruimtestaat!G123*$BC123</f>
        <v>0</v>
      </c>
      <c r="BH123" s="306">
        <f ca="1">Ruimtestaat!H123*$BC123</f>
        <v>10200</v>
      </c>
      <c r="BI123" s="307">
        <f ca="1">Ruimtestaat!I123*$BC123</f>
        <v>542130</v>
      </c>
      <c r="BJ123" s="308">
        <f ca="1">Ruimtestaat!J123*$BC123</f>
        <v>0</v>
      </c>
      <c r="BK123" s="552">
        <f ca="1">SUM(BD123:BJ128)</f>
        <v>583440</v>
      </c>
      <c r="BR123" s="303" t="str">
        <f>IF(Ruimtestaat!BC123="","",Ruimtestaat!BC123)</f>
        <v>HVH-TWG</v>
      </c>
      <c r="BS123" s="304">
        <f t="shared" si="3"/>
        <v>255</v>
      </c>
      <c r="BT123" s="305" t="str">
        <f ca="1">IF(BD123&gt;0,IF(ISNUMBER(Schoonmaaknormen!D123),Schoonmaaknormen!BD123/Schoonmaaknormen!D123,0),"")</f>
        <v/>
      </c>
      <c r="BU123" s="306">
        <f ca="1">IF(BE123&gt;0,IF(ISNUMBER(Schoonmaaknormen!E123),Schoonmaaknormen!BE123/Schoonmaaknormen!E123,0),"")</f>
        <v>0</v>
      </c>
      <c r="BV123" s="306">
        <f ca="1">IF(BF123&gt;0,IF(ISNUMBER(Schoonmaaknormen!F123),Schoonmaaknormen!BF123/Schoonmaaknormen!F123,0),"")</f>
        <v>0</v>
      </c>
      <c r="BW123" s="306" t="str">
        <f ca="1">IF(BG123&gt;0,IF(ISNUMBER(Schoonmaaknormen!G123),Schoonmaaknormen!BG123/Schoonmaaknormen!G123,0),"")</f>
        <v/>
      </c>
      <c r="BX123" s="306">
        <f ca="1">IF(BH123&gt;0,IF(ISNUMBER(Schoonmaaknormen!H123),Schoonmaaknormen!BH123/Schoonmaaknormen!H123,0),"")</f>
        <v>0</v>
      </c>
      <c r="BY123" s="306">
        <f ca="1">IF(BI123&gt;0,IF(ISNUMBER(Schoonmaaknormen!I123),Schoonmaaknormen!BI123/Schoonmaaknormen!I123,0),"")</f>
        <v>0</v>
      </c>
      <c r="BZ123" s="306" t="str">
        <f ca="1">IF(BJ123&gt;0,IF(ISNUMBER(Schoonmaaknormen!J123),Schoonmaaknormen!BJ123/Schoonmaaknormen!J123,0),"")</f>
        <v/>
      </c>
      <c r="CA123" s="547" t="str" cm="1">
        <f t="array" ref="CA123">IF(ISNUMBER(K123),IF(SUM(BT123:BZ128)/LARGE(_xlfn._xlws.FILTER(Ruimtestaat!BD:BD,Ruimtestaat!BC:BC=BR123),1)&lt;K123,K123*LARGE(_xlfn._xlws.FILTER(Ruimtestaat!BD:BD,Ruimtestaat!BC:BC=BR123),1)-SUM(BT123:BZ128),0),"")</f>
        <v/>
      </c>
      <c r="CB123" s="551">
        <f ca="1">SUM(BT123:CA128)</f>
        <v>0</v>
      </c>
    </row>
    <row r="124" spans="1:80" ht="0.2" customHeight="1" x14ac:dyDescent="0.2">
      <c r="A124" s="172">
        <f ca="1">Ruimtestaat!A124</f>
        <v>0</v>
      </c>
      <c r="B124" s="557"/>
      <c r="C124" s="11">
        <v>204</v>
      </c>
      <c r="D124" s="309"/>
      <c r="E124" s="310"/>
      <c r="F124" s="310"/>
      <c r="G124" s="310"/>
      <c r="H124" s="310"/>
      <c r="I124" s="312"/>
      <c r="J124" s="312"/>
      <c r="K124" s="560"/>
      <c r="L124" s="552"/>
      <c r="M124" s="172" t="b">
        <f>IF(_xlfn.XLOOKUP(BB124,Tabel2[Locatiecode],Tabel2[Type locatie],"",0)="vaccin",TRUE,FALSE)</f>
        <v>1</v>
      </c>
      <c r="BB124" s="272" t="str">
        <f>IF(Ruimtestaat!BC124="","",Ruimtestaat!BC124)</f>
        <v>HVH-TWG</v>
      </c>
      <c r="BC124" s="273">
        <f t="shared" si="2"/>
        <v>204</v>
      </c>
      <c r="BD124" s="274">
        <f ca="1">Ruimtestaat!D124*$BC124</f>
        <v>0</v>
      </c>
      <c r="BE124" s="275">
        <f ca="1">Ruimtestaat!E124*$BC124</f>
        <v>0</v>
      </c>
      <c r="BF124" s="275">
        <f ca="1">Ruimtestaat!F124*$BC124</f>
        <v>0</v>
      </c>
      <c r="BG124" s="275">
        <f ca="1">Ruimtestaat!G124*$BC124</f>
        <v>0</v>
      </c>
      <c r="BH124" s="275">
        <f ca="1">Ruimtestaat!H124*$BC124</f>
        <v>0</v>
      </c>
      <c r="BI124" s="276">
        <f ca="1">Ruimtestaat!I124*$BC124</f>
        <v>0</v>
      </c>
      <c r="BJ124" s="277">
        <f ca="1">Ruimtestaat!J124*$BC124</f>
        <v>0</v>
      </c>
      <c r="BK124" s="552"/>
      <c r="BR124" s="272" t="str">
        <f>IF(Ruimtestaat!BC124="","",Ruimtestaat!BC124)</f>
        <v>HVH-TWG</v>
      </c>
      <c r="BS124" s="273">
        <f t="shared" si="3"/>
        <v>204</v>
      </c>
      <c r="BT124" s="274" t="str">
        <f ca="1">IF(BD124&gt;0,IF(ISNUMBER(Schoonmaaknormen!D124),Schoonmaaknormen!BD124/Schoonmaaknormen!D124,0),"")</f>
        <v/>
      </c>
      <c r="BU124" s="275" t="str">
        <f ca="1">IF(BE124&gt;0,IF(ISNUMBER(Schoonmaaknormen!E124),Schoonmaaknormen!BE124/Schoonmaaknormen!E124,0),"")</f>
        <v/>
      </c>
      <c r="BV124" s="275" t="str">
        <f ca="1">IF(BF124&gt;0,IF(ISNUMBER(Schoonmaaknormen!F124),Schoonmaaknormen!BF124/Schoonmaaknormen!F124,0),"")</f>
        <v/>
      </c>
      <c r="BW124" s="275" t="str">
        <f ca="1">IF(BG124&gt;0,IF(ISNUMBER(Schoonmaaknormen!G124),Schoonmaaknormen!BG124/Schoonmaaknormen!G124,0),"")</f>
        <v/>
      </c>
      <c r="BX124" s="275" t="str">
        <f ca="1">IF(BH124&gt;0,IF(ISNUMBER(Schoonmaaknormen!H124),Schoonmaaknormen!BH124/Schoonmaaknormen!H124,0),"")</f>
        <v/>
      </c>
      <c r="BY124" s="275" t="str">
        <f ca="1">IF(BI124&gt;0,IF(ISNUMBER(Schoonmaaknormen!I124),Schoonmaaknormen!BI124/Schoonmaaknormen!I124,0),"")</f>
        <v/>
      </c>
      <c r="BZ124" s="275" t="str">
        <f ca="1">IF(BJ124&gt;0,IF(ISNUMBER(Schoonmaaknormen!J124),Schoonmaaknormen!BJ124/Schoonmaaknormen!J124,0),"")</f>
        <v/>
      </c>
      <c r="CA124" s="548"/>
      <c r="CB124" s="552"/>
    </row>
    <row r="125" spans="1:80" ht="0.2" customHeight="1" x14ac:dyDescent="0.2">
      <c r="A125" s="172">
        <f ca="1">Ruimtestaat!A125</f>
        <v>0</v>
      </c>
      <c r="B125" s="557"/>
      <c r="C125" s="11">
        <v>156</v>
      </c>
      <c r="D125" s="309"/>
      <c r="E125" s="310"/>
      <c r="F125" s="310"/>
      <c r="G125" s="310"/>
      <c r="H125" s="310"/>
      <c r="I125" s="312"/>
      <c r="J125" s="312"/>
      <c r="K125" s="560"/>
      <c r="L125" s="552"/>
      <c r="M125" s="172" t="b">
        <f>IF(_xlfn.XLOOKUP(BB125,Tabel2[Locatiecode],Tabel2[Type locatie],"",0)="vaccin",TRUE,FALSE)</f>
        <v>1</v>
      </c>
      <c r="BB125" s="272" t="str">
        <f>IF(Ruimtestaat!BC125="","",Ruimtestaat!BC125)</f>
        <v>HVH-TWG</v>
      </c>
      <c r="BC125" s="273">
        <f t="shared" si="2"/>
        <v>156</v>
      </c>
      <c r="BD125" s="274">
        <f ca="1">Ruimtestaat!D125*$BC125</f>
        <v>0</v>
      </c>
      <c r="BE125" s="275">
        <f ca="1">Ruimtestaat!E125*$BC125</f>
        <v>0</v>
      </c>
      <c r="BF125" s="275">
        <f ca="1">Ruimtestaat!F125*$BC125</f>
        <v>0</v>
      </c>
      <c r="BG125" s="275">
        <f ca="1">Ruimtestaat!G125*$BC125</f>
        <v>0</v>
      </c>
      <c r="BH125" s="275">
        <f ca="1">Ruimtestaat!H125*$BC125</f>
        <v>0</v>
      </c>
      <c r="BI125" s="276">
        <f ca="1">Ruimtestaat!I125*$BC125</f>
        <v>0</v>
      </c>
      <c r="BJ125" s="277">
        <f ca="1">Ruimtestaat!J125*$BC125</f>
        <v>0</v>
      </c>
      <c r="BK125" s="552"/>
      <c r="BR125" s="272" t="str">
        <f>IF(Ruimtestaat!BC125="","",Ruimtestaat!BC125)</f>
        <v>HVH-TWG</v>
      </c>
      <c r="BS125" s="273">
        <f t="shared" si="3"/>
        <v>156</v>
      </c>
      <c r="BT125" s="274" t="str">
        <f ca="1">IF(BD125&gt;0,IF(ISNUMBER(Schoonmaaknormen!D125),Schoonmaaknormen!BD125/Schoonmaaknormen!D125,0),"")</f>
        <v/>
      </c>
      <c r="BU125" s="275" t="str">
        <f ca="1">IF(BE125&gt;0,IF(ISNUMBER(Schoonmaaknormen!E125),Schoonmaaknormen!BE125/Schoonmaaknormen!E125,0),"")</f>
        <v/>
      </c>
      <c r="BV125" s="275" t="str">
        <f ca="1">IF(BF125&gt;0,IF(ISNUMBER(Schoonmaaknormen!F125),Schoonmaaknormen!BF125/Schoonmaaknormen!F125,0),"")</f>
        <v/>
      </c>
      <c r="BW125" s="275" t="str">
        <f ca="1">IF(BG125&gt;0,IF(ISNUMBER(Schoonmaaknormen!G125),Schoonmaaknormen!BG125/Schoonmaaknormen!G125,0),"")</f>
        <v/>
      </c>
      <c r="BX125" s="275" t="str">
        <f ca="1">IF(BH125&gt;0,IF(ISNUMBER(Schoonmaaknormen!H125),Schoonmaaknormen!BH125/Schoonmaaknormen!H125,0),"")</f>
        <v/>
      </c>
      <c r="BY125" s="275" t="str">
        <f ca="1">IF(BI125&gt;0,IF(ISNUMBER(Schoonmaaknormen!I125),Schoonmaaknormen!BI125/Schoonmaaknormen!I125,0),"")</f>
        <v/>
      </c>
      <c r="BZ125" s="275" t="str">
        <f ca="1">IF(BJ125&gt;0,IF(ISNUMBER(Schoonmaaknormen!J125),Schoonmaaknormen!BJ125/Schoonmaaknormen!J125,0),"")</f>
        <v/>
      </c>
      <c r="CA125" s="548"/>
      <c r="CB125" s="552"/>
    </row>
    <row r="126" spans="1:80" ht="0.2" customHeight="1" x14ac:dyDescent="0.2">
      <c r="A126" s="172">
        <f ca="1">Ruimtestaat!A126</f>
        <v>0</v>
      </c>
      <c r="B126" s="557"/>
      <c r="C126" s="11">
        <v>104</v>
      </c>
      <c r="D126" s="309"/>
      <c r="E126" s="310"/>
      <c r="F126" s="310"/>
      <c r="G126" s="310"/>
      <c r="H126" s="310"/>
      <c r="I126" s="312"/>
      <c r="J126" s="312"/>
      <c r="K126" s="561"/>
      <c r="L126" s="553"/>
      <c r="M126" s="172" t="b">
        <f>IF(_xlfn.XLOOKUP(BB126,Tabel2[Locatiecode],Tabel2[Type locatie],"",0)="vaccin",TRUE,FALSE)</f>
        <v>1</v>
      </c>
      <c r="BB126" s="278" t="str">
        <f>IF(Ruimtestaat!BC126="","",Ruimtestaat!BC126)</f>
        <v>HVH-TWG</v>
      </c>
      <c r="BC126" s="279">
        <f t="shared" si="2"/>
        <v>104</v>
      </c>
      <c r="BD126" s="280">
        <f ca="1">Ruimtestaat!D126*$BC126</f>
        <v>0</v>
      </c>
      <c r="BE126" s="281">
        <f ca="1">Ruimtestaat!E126*$BC126</f>
        <v>0</v>
      </c>
      <c r="BF126" s="281">
        <f ca="1">Ruimtestaat!F126*$BC126</f>
        <v>0</v>
      </c>
      <c r="BG126" s="281">
        <f ca="1">Ruimtestaat!G126*$BC126</f>
        <v>0</v>
      </c>
      <c r="BH126" s="281">
        <f ca="1">Ruimtestaat!H126*$BC126</f>
        <v>0</v>
      </c>
      <c r="BI126" s="282">
        <f ca="1">Ruimtestaat!I126*$BC126</f>
        <v>0</v>
      </c>
      <c r="BJ126" s="283">
        <f ca="1">Ruimtestaat!J126*$BC126</f>
        <v>0</v>
      </c>
      <c r="BK126" s="553"/>
      <c r="BR126" s="278" t="str">
        <f>IF(Ruimtestaat!BC126="","",Ruimtestaat!BC126)</f>
        <v>HVH-TWG</v>
      </c>
      <c r="BS126" s="313">
        <f t="shared" si="3"/>
        <v>104</v>
      </c>
      <c r="BT126" s="280" t="str">
        <f ca="1">IF(BD126&gt;0,IF(ISNUMBER(Schoonmaaknormen!D126),Schoonmaaknormen!BD126/Schoonmaaknormen!D126,0),"")</f>
        <v/>
      </c>
      <c r="BU126" s="314" t="str">
        <f ca="1">IF(BE126&gt;0,IF(ISNUMBER(Schoonmaaknormen!E126),Schoonmaaknormen!BE126/Schoonmaaknormen!E126,0),"")</f>
        <v/>
      </c>
      <c r="BV126" s="314" t="str">
        <f ca="1">IF(BF126&gt;0,IF(ISNUMBER(Schoonmaaknormen!F126),Schoonmaaknormen!BF126/Schoonmaaknormen!F126,0),"")</f>
        <v/>
      </c>
      <c r="BW126" s="314" t="str">
        <f ca="1">IF(BG126&gt;0,IF(ISNUMBER(Schoonmaaknormen!G126),Schoonmaaknormen!BG126/Schoonmaaknormen!G126,0),"")</f>
        <v/>
      </c>
      <c r="BX126" s="314" t="str">
        <f ca="1">IF(BH126&gt;0,IF(ISNUMBER(Schoonmaaknormen!H126),Schoonmaaknormen!BH126/Schoonmaaknormen!H126,0),"")</f>
        <v/>
      </c>
      <c r="BY126" s="314" t="str">
        <f ca="1">IF(BI126&gt;0,IF(ISNUMBER(Schoonmaaknormen!I126),Schoonmaaknormen!BI126/Schoonmaaknormen!I126,0),"")</f>
        <v/>
      </c>
      <c r="BZ126" s="314" t="str">
        <f ca="1">IF(BJ126&gt;0,IF(ISNUMBER(Schoonmaaknormen!J126),Schoonmaaknormen!BJ126/Schoonmaaknormen!J126,0),"")</f>
        <v/>
      </c>
      <c r="CA126" s="549"/>
      <c r="CB126" s="553"/>
    </row>
    <row r="127" spans="1:80" ht="0.2" customHeight="1" x14ac:dyDescent="0.2">
      <c r="A127" s="172">
        <f ca="1">Ruimtestaat!A127</f>
        <v>0</v>
      </c>
      <c r="B127" s="557"/>
      <c r="C127" s="11">
        <v>52</v>
      </c>
      <c r="D127" s="309"/>
      <c r="E127" s="310"/>
      <c r="F127" s="310"/>
      <c r="G127" s="310"/>
      <c r="H127" s="310"/>
      <c r="I127" s="312"/>
      <c r="J127" s="312"/>
      <c r="K127" s="561"/>
      <c r="L127" s="553"/>
      <c r="M127" s="172" t="b">
        <f>IF(_xlfn.XLOOKUP(BB127,Tabel2[Locatiecode],Tabel2[Type locatie],"",0)="vaccin",TRUE,FALSE)</f>
        <v>1</v>
      </c>
      <c r="BB127" s="284" t="str">
        <f>IF(Ruimtestaat!BC127="","",Ruimtestaat!BC127)</f>
        <v>HVH-TWG</v>
      </c>
      <c r="BC127" s="285">
        <f t="shared" si="2"/>
        <v>52</v>
      </c>
      <c r="BD127" s="286">
        <f ca="1">Ruimtestaat!D127*$BC127</f>
        <v>0</v>
      </c>
      <c r="BE127" s="287">
        <f ca="1">Ruimtestaat!E127*$BC127</f>
        <v>0</v>
      </c>
      <c r="BF127" s="287">
        <f ca="1">Ruimtestaat!F127*$BC127</f>
        <v>0</v>
      </c>
      <c r="BG127" s="287">
        <f ca="1">Ruimtestaat!G127*$BC127</f>
        <v>0</v>
      </c>
      <c r="BH127" s="287">
        <f ca="1">Ruimtestaat!H127*$BC127</f>
        <v>0</v>
      </c>
      <c r="BI127" s="288">
        <f ca="1">Ruimtestaat!I127*$BC127</f>
        <v>0</v>
      </c>
      <c r="BJ127" s="289">
        <f ca="1">Ruimtestaat!J127*$BC127</f>
        <v>0</v>
      </c>
      <c r="BK127" s="553"/>
      <c r="BR127" s="284" t="str">
        <f>IF(Ruimtestaat!BC127="","",Ruimtestaat!BC127)</f>
        <v>HVH-TWG</v>
      </c>
      <c r="BS127" s="285">
        <f t="shared" si="3"/>
        <v>52</v>
      </c>
      <c r="BT127" s="286" t="str">
        <f ca="1">IF(BD127&gt;0,IF(ISNUMBER(Schoonmaaknormen!D127),Schoonmaaknormen!BD127/Schoonmaaknormen!D127,0),"")</f>
        <v/>
      </c>
      <c r="BU127" s="287" t="str">
        <f ca="1">IF(BE127&gt;0,IF(ISNUMBER(Schoonmaaknormen!E127),Schoonmaaknormen!BE127/Schoonmaaknormen!E127,0),"")</f>
        <v/>
      </c>
      <c r="BV127" s="287" t="str">
        <f ca="1">IF(BF127&gt;0,IF(ISNUMBER(Schoonmaaknormen!F127),Schoonmaaknormen!BF127/Schoonmaaknormen!F127,0),"")</f>
        <v/>
      </c>
      <c r="BW127" s="287" t="str">
        <f ca="1">IF(BG127&gt;0,IF(ISNUMBER(Schoonmaaknormen!G127),Schoonmaaknormen!BG127/Schoonmaaknormen!G127,0),"")</f>
        <v/>
      </c>
      <c r="BX127" s="287" t="str">
        <f ca="1">IF(BH127&gt;0,IF(ISNUMBER(Schoonmaaknormen!H127),Schoonmaaknormen!BH127/Schoonmaaknormen!H127,0),"")</f>
        <v/>
      </c>
      <c r="BY127" s="287" t="str">
        <f ca="1">IF(BI127&gt;0,IF(ISNUMBER(Schoonmaaknormen!I127),Schoonmaaknormen!BI127/Schoonmaaknormen!I127,0),"")</f>
        <v/>
      </c>
      <c r="BZ127" s="287" t="str">
        <f ca="1">IF(BJ127&gt;0,IF(ISNUMBER(Schoonmaaknormen!J127),Schoonmaaknormen!BJ127/Schoonmaaknormen!J127,0),"")</f>
        <v/>
      </c>
      <c r="CA127" s="549"/>
      <c r="CB127" s="553"/>
    </row>
    <row r="128" spans="1:80" ht="0.2" customHeight="1" x14ac:dyDescent="0.2">
      <c r="A128" s="172">
        <f ca="1">Ruimtestaat!A128</f>
        <v>2</v>
      </c>
      <c r="B128" s="558"/>
      <c r="C128" s="290">
        <v>4</v>
      </c>
      <c r="D128" s="186"/>
      <c r="E128" s="187"/>
      <c r="F128" s="187"/>
      <c r="G128" s="187"/>
      <c r="H128" s="187"/>
      <c r="I128" s="189"/>
      <c r="J128" s="189"/>
      <c r="K128" s="562"/>
      <c r="L128" s="554"/>
      <c r="M128" s="172" t="b">
        <f>IF(_xlfn.XLOOKUP(BB128,Tabel2[Locatiecode],Tabel2[Type locatie],"",0)="vaccin",TRUE,FALSE)</f>
        <v>1</v>
      </c>
      <c r="BB128" s="291" t="str">
        <f>IF(Ruimtestaat!BC128="","",Ruimtestaat!BC128)</f>
        <v>HVH-TWG</v>
      </c>
      <c r="BC128" s="292">
        <f t="shared" si="2"/>
        <v>4</v>
      </c>
      <c r="BD128" s="293">
        <f ca="1">Ruimtestaat!D128*$BC128</f>
        <v>0</v>
      </c>
      <c r="BE128" s="294">
        <f ca="1">Ruimtestaat!E128*$BC128</f>
        <v>0</v>
      </c>
      <c r="BF128" s="294">
        <f ca="1">Ruimtestaat!F128*$BC128</f>
        <v>0</v>
      </c>
      <c r="BG128" s="294">
        <f ca="1">Ruimtestaat!G128*$BC128</f>
        <v>0</v>
      </c>
      <c r="BH128" s="294">
        <f ca="1">Ruimtestaat!H128*$BC128</f>
        <v>0</v>
      </c>
      <c r="BI128" s="295">
        <f ca="1">Ruimtestaat!I128*$BC128</f>
        <v>0</v>
      </c>
      <c r="BJ128" s="296">
        <f ca="1">Ruimtestaat!J128*$BC128</f>
        <v>0</v>
      </c>
      <c r="BK128" s="554"/>
      <c r="BR128" s="291" t="str">
        <f>IF(Ruimtestaat!BC128="","",Ruimtestaat!BC128)</f>
        <v>HVH-TWG</v>
      </c>
      <c r="BS128" s="292">
        <f t="shared" si="3"/>
        <v>4</v>
      </c>
      <c r="BT128" s="293" t="str">
        <f ca="1">IF(BD128&gt;0,IF(ISNUMBER(Schoonmaaknormen!D128),Schoonmaaknormen!BD128/Schoonmaaknormen!D128,0),"")</f>
        <v/>
      </c>
      <c r="BU128" s="294" t="str">
        <f ca="1">IF(BE128&gt;0,IF(ISNUMBER(Schoonmaaknormen!E128),Schoonmaaknormen!BE128/Schoonmaaknormen!E128,0),"")</f>
        <v/>
      </c>
      <c r="BV128" s="294" t="str">
        <f ca="1">IF(BF128&gt;0,IF(ISNUMBER(Schoonmaaknormen!F128),Schoonmaaknormen!BF128/Schoonmaaknormen!F128,0),"")</f>
        <v/>
      </c>
      <c r="BW128" s="294" t="str">
        <f ca="1">IF(BG128&gt;0,IF(ISNUMBER(Schoonmaaknormen!G128),Schoonmaaknormen!BG128/Schoonmaaknormen!G128,0),"")</f>
        <v/>
      </c>
      <c r="BX128" s="294" t="str">
        <f ca="1">IF(BH128&gt;0,IF(ISNUMBER(Schoonmaaknormen!H128),Schoonmaaknormen!BH128/Schoonmaaknormen!H128,0),"")</f>
        <v/>
      </c>
      <c r="BY128" s="294" t="str">
        <f ca="1">IF(BI128&gt;0,IF(ISNUMBER(Schoonmaaknormen!I128),Schoonmaaknormen!BI128/Schoonmaaknormen!I128,0),"")</f>
        <v/>
      </c>
      <c r="BZ128" s="294" t="str">
        <f ca="1">IF(BJ128&gt;0,IF(ISNUMBER(Schoonmaaknormen!J128),Schoonmaaknormen!BJ128/Schoonmaaknormen!J128,0),"")</f>
        <v/>
      </c>
      <c r="CA128" s="555"/>
      <c r="CB128" s="554"/>
    </row>
    <row r="129" spans="1:80" ht="15" customHeight="1" x14ac:dyDescent="0.2">
      <c r="A129" s="172">
        <f ca="1">Ruimtestaat!A129</f>
        <v>1</v>
      </c>
      <c r="B129" s="556" t="str">
        <f>BB129</f>
        <v>JUL-MDZ</v>
      </c>
      <c r="C129" s="298">
        <v>255</v>
      </c>
      <c r="D129" s="299"/>
      <c r="E129" s="300"/>
      <c r="F129" s="300"/>
      <c r="G129" s="300"/>
      <c r="H129" s="300"/>
      <c r="I129" s="302"/>
      <c r="J129" s="302"/>
      <c r="K129" s="559"/>
      <c r="L129" s="551" t="str" cm="1">
        <f t="array" aca="1" ref="L129" ca="1">_xlfn.IFS(A129=2,"",COUNTBLANK(D129:J134)=COUNTIF(Ruimtestaat!D129:J134,"&lt;=0"),BK129/CB129,TRUE,"")</f>
        <v/>
      </c>
      <c r="M129" s="172" t="b">
        <f>IF(_xlfn.XLOOKUP(BB129,Tabel2[Locatiecode],Tabel2[Type locatie],"",0)="vaccin",TRUE,FALSE)</f>
        <v>0</v>
      </c>
      <c r="BB129" s="303" t="str">
        <f>IF(Ruimtestaat!BC129="","",Ruimtestaat!BC129)</f>
        <v>JUL-MDZ</v>
      </c>
      <c r="BC129" s="304">
        <f t="shared" si="2"/>
        <v>255</v>
      </c>
      <c r="BD129" s="305">
        <f ca="1">Ruimtestaat!D129*$BC129</f>
        <v>10225.5</v>
      </c>
      <c r="BE129" s="306">
        <f ca="1">Ruimtestaat!E129*$BC129</f>
        <v>5304</v>
      </c>
      <c r="BF129" s="306">
        <f ca="1">Ruimtestaat!F129*$BC129</f>
        <v>9180</v>
      </c>
      <c r="BG129" s="306">
        <f ca="1">Ruimtestaat!G129*$BC129</f>
        <v>1122</v>
      </c>
      <c r="BH129" s="306">
        <f ca="1">Ruimtestaat!H129*$BC129</f>
        <v>816</v>
      </c>
      <c r="BI129" s="307">
        <f ca="1">Ruimtestaat!I129*$BC129</f>
        <v>790.5</v>
      </c>
      <c r="BJ129" s="308">
        <f ca="1">Ruimtestaat!J129*$BC129</f>
        <v>0</v>
      </c>
      <c r="BK129" s="552">
        <f ca="1">SUM(BD129:BJ134)</f>
        <v>27438</v>
      </c>
      <c r="BR129" s="303" t="str">
        <f>IF(Ruimtestaat!BC129="","",Ruimtestaat!BC129)</f>
        <v>JUL-MDZ</v>
      </c>
      <c r="BS129" s="304">
        <f t="shared" si="3"/>
        <v>255</v>
      </c>
      <c r="BT129" s="305">
        <f ca="1">IF(BD129&gt;0,IF(ISNUMBER(Schoonmaaknormen!D129),Schoonmaaknormen!BD129/Schoonmaaknormen!D129,0),"")</f>
        <v>0</v>
      </c>
      <c r="BU129" s="306">
        <f ca="1">IF(BE129&gt;0,IF(ISNUMBER(Schoonmaaknormen!E129),Schoonmaaknormen!BE129/Schoonmaaknormen!E129,0),"")</f>
        <v>0</v>
      </c>
      <c r="BV129" s="306">
        <f ca="1">IF(BF129&gt;0,IF(ISNUMBER(Schoonmaaknormen!F129),Schoonmaaknormen!BF129/Schoonmaaknormen!F129,0),"")</f>
        <v>0</v>
      </c>
      <c r="BW129" s="306">
        <f ca="1">IF(BG129&gt;0,IF(ISNUMBER(Schoonmaaknormen!G129),Schoonmaaknormen!BG129/Schoonmaaknormen!G129,0),"")</f>
        <v>0</v>
      </c>
      <c r="BX129" s="306">
        <f ca="1">IF(BH129&gt;0,IF(ISNUMBER(Schoonmaaknormen!H129),Schoonmaaknormen!BH129/Schoonmaaknormen!H129,0),"")</f>
        <v>0</v>
      </c>
      <c r="BY129" s="306">
        <f ca="1">IF(BI129&gt;0,IF(ISNUMBER(Schoonmaaknormen!I129),Schoonmaaknormen!BI129/Schoonmaaknormen!I129,0),"")</f>
        <v>0</v>
      </c>
      <c r="BZ129" s="306" t="str">
        <f ca="1">IF(BJ129&gt;0,IF(ISNUMBER(Schoonmaaknormen!J129),Schoonmaaknormen!BJ129/Schoonmaaknormen!J129,0),"")</f>
        <v/>
      </c>
      <c r="CA129" s="547" t="str" cm="1">
        <f t="array" ref="CA129">IF(ISNUMBER(K129),IF(SUM(BT129:BZ134)/LARGE(_xlfn._xlws.FILTER(Ruimtestaat!BD:BD,Ruimtestaat!BC:BC=BR129),1)&lt;K129,K129*LARGE(_xlfn._xlws.FILTER(Ruimtestaat!BD:BD,Ruimtestaat!BC:BC=BR129),1)-SUM(BT129:BZ134),0),"")</f>
        <v/>
      </c>
      <c r="CB129" s="551">
        <f ca="1">SUM(BT129:CA134)</f>
        <v>0</v>
      </c>
    </row>
    <row r="130" spans="1:80" ht="0.2" customHeight="1" x14ac:dyDescent="0.2">
      <c r="A130" s="172">
        <f ca="1">Ruimtestaat!A130</f>
        <v>2</v>
      </c>
      <c r="B130" s="557"/>
      <c r="C130" s="11">
        <v>204</v>
      </c>
      <c r="D130" s="309"/>
      <c r="E130" s="310"/>
      <c r="F130" s="310"/>
      <c r="G130" s="310"/>
      <c r="H130" s="310"/>
      <c r="I130" s="312"/>
      <c r="J130" s="312"/>
      <c r="K130" s="560"/>
      <c r="L130" s="552"/>
      <c r="M130" s="172" t="b">
        <f>IF(_xlfn.XLOOKUP(BB130,Tabel2[Locatiecode],Tabel2[Type locatie],"",0)="vaccin",TRUE,FALSE)</f>
        <v>0</v>
      </c>
      <c r="BB130" s="272" t="str">
        <f>IF(Ruimtestaat!BC130="","",Ruimtestaat!BC130)</f>
        <v>JUL-MDZ</v>
      </c>
      <c r="BC130" s="273">
        <f t="shared" si="2"/>
        <v>204</v>
      </c>
      <c r="BD130" s="274">
        <f ca="1">Ruimtestaat!D130*$BC130</f>
        <v>0</v>
      </c>
      <c r="BE130" s="275">
        <f ca="1">Ruimtestaat!E130*$BC130</f>
        <v>0</v>
      </c>
      <c r="BF130" s="275">
        <f ca="1">Ruimtestaat!F130*$BC130</f>
        <v>0</v>
      </c>
      <c r="BG130" s="275">
        <f ca="1">Ruimtestaat!G130*$BC130</f>
        <v>0</v>
      </c>
      <c r="BH130" s="275">
        <f ca="1">Ruimtestaat!H130*$BC130</f>
        <v>0</v>
      </c>
      <c r="BI130" s="276">
        <f ca="1">Ruimtestaat!I130*$BC130</f>
        <v>0</v>
      </c>
      <c r="BJ130" s="277">
        <f ca="1">Ruimtestaat!J130*$BC130</f>
        <v>0</v>
      </c>
      <c r="BK130" s="552"/>
      <c r="BR130" s="272" t="str">
        <f>IF(Ruimtestaat!BC130="","",Ruimtestaat!BC130)</f>
        <v>JUL-MDZ</v>
      </c>
      <c r="BS130" s="273">
        <f t="shared" si="3"/>
        <v>204</v>
      </c>
      <c r="BT130" s="274" t="str">
        <f ca="1">IF(BD130&gt;0,IF(ISNUMBER(Schoonmaaknormen!D130),Schoonmaaknormen!BD130/Schoonmaaknormen!D130,0),"")</f>
        <v/>
      </c>
      <c r="BU130" s="275" t="str">
        <f ca="1">IF(BE130&gt;0,IF(ISNUMBER(Schoonmaaknormen!E130),Schoonmaaknormen!BE130/Schoonmaaknormen!E130,0),"")</f>
        <v/>
      </c>
      <c r="BV130" s="275" t="str">
        <f ca="1">IF(BF130&gt;0,IF(ISNUMBER(Schoonmaaknormen!F130),Schoonmaaknormen!BF130/Schoonmaaknormen!F130,0),"")</f>
        <v/>
      </c>
      <c r="BW130" s="275" t="str">
        <f ca="1">IF(BG130&gt;0,IF(ISNUMBER(Schoonmaaknormen!G130),Schoonmaaknormen!BG130/Schoonmaaknormen!G130,0),"")</f>
        <v/>
      </c>
      <c r="BX130" s="275" t="str">
        <f ca="1">IF(BH130&gt;0,IF(ISNUMBER(Schoonmaaknormen!H130),Schoonmaaknormen!BH130/Schoonmaaknormen!H130,0),"")</f>
        <v/>
      </c>
      <c r="BY130" s="275" t="str">
        <f ca="1">IF(BI130&gt;0,IF(ISNUMBER(Schoonmaaknormen!I130),Schoonmaaknormen!BI130/Schoonmaaknormen!I130,0),"")</f>
        <v/>
      </c>
      <c r="BZ130" s="275" t="str">
        <f ca="1">IF(BJ130&gt;0,IF(ISNUMBER(Schoonmaaknormen!J130),Schoonmaaknormen!BJ130/Schoonmaaknormen!J130,0),"")</f>
        <v/>
      </c>
      <c r="CA130" s="548"/>
      <c r="CB130" s="552"/>
    </row>
    <row r="131" spans="1:80" ht="0.2" customHeight="1" x14ac:dyDescent="0.2">
      <c r="A131" s="172">
        <f ca="1">Ruimtestaat!A131</f>
        <v>2</v>
      </c>
      <c r="B131" s="557"/>
      <c r="C131" s="11">
        <v>156</v>
      </c>
      <c r="D131" s="309"/>
      <c r="E131" s="310"/>
      <c r="F131" s="310"/>
      <c r="G131" s="310"/>
      <c r="H131" s="310"/>
      <c r="I131" s="312"/>
      <c r="J131" s="312"/>
      <c r="K131" s="560"/>
      <c r="L131" s="552"/>
      <c r="M131" s="172" t="b">
        <f>IF(_xlfn.XLOOKUP(BB131,Tabel2[Locatiecode],Tabel2[Type locatie],"",0)="vaccin",TRUE,FALSE)</f>
        <v>0</v>
      </c>
      <c r="BB131" s="272" t="str">
        <f>IF(Ruimtestaat!BC131="","",Ruimtestaat!BC131)</f>
        <v>JUL-MDZ</v>
      </c>
      <c r="BC131" s="273">
        <f t="shared" si="2"/>
        <v>156</v>
      </c>
      <c r="BD131" s="274">
        <f ca="1">Ruimtestaat!D131*$BC131</f>
        <v>0</v>
      </c>
      <c r="BE131" s="275">
        <f ca="1">Ruimtestaat!E131*$BC131</f>
        <v>0</v>
      </c>
      <c r="BF131" s="275">
        <f ca="1">Ruimtestaat!F131*$BC131</f>
        <v>0</v>
      </c>
      <c r="BG131" s="275">
        <f ca="1">Ruimtestaat!G131*$BC131</f>
        <v>0</v>
      </c>
      <c r="BH131" s="275">
        <f ca="1">Ruimtestaat!H131*$BC131</f>
        <v>0</v>
      </c>
      <c r="BI131" s="276">
        <f ca="1">Ruimtestaat!I131*$BC131</f>
        <v>0</v>
      </c>
      <c r="BJ131" s="277">
        <f ca="1">Ruimtestaat!J131*$BC131</f>
        <v>0</v>
      </c>
      <c r="BK131" s="552"/>
      <c r="BR131" s="272" t="str">
        <f>IF(Ruimtestaat!BC131="","",Ruimtestaat!BC131)</f>
        <v>JUL-MDZ</v>
      </c>
      <c r="BS131" s="273">
        <f t="shared" si="3"/>
        <v>156</v>
      </c>
      <c r="BT131" s="274" t="str">
        <f ca="1">IF(BD131&gt;0,IF(ISNUMBER(Schoonmaaknormen!D131),Schoonmaaknormen!BD131/Schoonmaaknormen!D131,0),"")</f>
        <v/>
      </c>
      <c r="BU131" s="275" t="str">
        <f ca="1">IF(BE131&gt;0,IF(ISNUMBER(Schoonmaaknormen!E131),Schoonmaaknormen!BE131/Schoonmaaknormen!E131,0),"")</f>
        <v/>
      </c>
      <c r="BV131" s="275" t="str">
        <f ca="1">IF(BF131&gt;0,IF(ISNUMBER(Schoonmaaknormen!F131),Schoonmaaknormen!BF131/Schoonmaaknormen!F131,0),"")</f>
        <v/>
      </c>
      <c r="BW131" s="275" t="str">
        <f ca="1">IF(BG131&gt;0,IF(ISNUMBER(Schoonmaaknormen!G131),Schoonmaaknormen!BG131/Schoonmaaknormen!G131,0),"")</f>
        <v/>
      </c>
      <c r="BX131" s="275" t="str">
        <f ca="1">IF(BH131&gt;0,IF(ISNUMBER(Schoonmaaknormen!H131),Schoonmaaknormen!BH131/Schoonmaaknormen!H131,0),"")</f>
        <v/>
      </c>
      <c r="BY131" s="275" t="str">
        <f ca="1">IF(BI131&gt;0,IF(ISNUMBER(Schoonmaaknormen!I131),Schoonmaaknormen!BI131/Schoonmaaknormen!I131,0),"")</f>
        <v/>
      </c>
      <c r="BZ131" s="275" t="str">
        <f ca="1">IF(BJ131&gt;0,IF(ISNUMBER(Schoonmaaknormen!J131),Schoonmaaknormen!BJ131/Schoonmaaknormen!J131,0),"")</f>
        <v/>
      </c>
      <c r="CA131" s="548"/>
      <c r="CB131" s="552"/>
    </row>
    <row r="132" spans="1:80" ht="0.2" customHeight="1" x14ac:dyDescent="0.2">
      <c r="A132" s="172">
        <f ca="1">Ruimtestaat!A132</f>
        <v>2</v>
      </c>
      <c r="B132" s="557"/>
      <c r="C132" s="11">
        <v>104</v>
      </c>
      <c r="D132" s="309"/>
      <c r="E132" s="310"/>
      <c r="F132" s="310"/>
      <c r="G132" s="310"/>
      <c r="H132" s="310"/>
      <c r="I132" s="312"/>
      <c r="J132" s="312"/>
      <c r="K132" s="561"/>
      <c r="L132" s="553"/>
      <c r="M132" s="172" t="b">
        <f>IF(_xlfn.XLOOKUP(BB132,Tabel2[Locatiecode],Tabel2[Type locatie],"",0)="vaccin",TRUE,FALSE)</f>
        <v>0</v>
      </c>
      <c r="BB132" s="278" t="str">
        <f>IF(Ruimtestaat!BC132="","",Ruimtestaat!BC132)</f>
        <v>JUL-MDZ</v>
      </c>
      <c r="BC132" s="279">
        <f t="shared" ref="BC132:BC195" si="4">C132</f>
        <v>104</v>
      </c>
      <c r="BD132" s="280">
        <f ca="1">Ruimtestaat!D132*$BC132</f>
        <v>0</v>
      </c>
      <c r="BE132" s="281">
        <f ca="1">Ruimtestaat!E132*$BC132</f>
        <v>0</v>
      </c>
      <c r="BF132" s="281">
        <f ca="1">Ruimtestaat!F132*$BC132</f>
        <v>0</v>
      </c>
      <c r="BG132" s="281">
        <f ca="1">Ruimtestaat!G132*$BC132</f>
        <v>0</v>
      </c>
      <c r="BH132" s="281">
        <f ca="1">Ruimtestaat!H132*$BC132</f>
        <v>0</v>
      </c>
      <c r="BI132" s="282">
        <f ca="1">Ruimtestaat!I132*$BC132</f>
        <v>0</v>
      </c>
      <c r="BJ132" s="283">
        <f ca="1">Ruimtestaat!J132*$BC132</f>
        <v>0</v>
      </c>
      <c r="BK132" s="553"/>
      <c r="BR132" s="278" t="str">
        <f>IF(Ruimtestaat!BC132="","",Ruimtestaat!BC132)</f>
        <v>JUL-MDZ</v>
      </c>
      <c r="BS132" s="313">
        <f t="shared" ref="BS132:BS195" si="5">C132</f>
        <v>104</v>
      </c>
      <c r="BT132" s="280" t="str">
        <f ca="1">IF(BD132&gt;0,IF(ISNUMBER(Schoonmaaknormen!D132),Schoonmaaknormen!BD132/Schoonmaaknormen!D132,0),"")</f>
        <v/>
      </c>
      <c r="BU132" s="314" t="str">
        <f ca="1">IF(BE132&gt;0,IF(ISNUMBER(Schoonmaaknormen!E132),Schoonmaaknormen!BE132/Schoonmaaknormen!E132,0),"")</f>
        <v/>
      </c>
      <c r="BV132" s="314" t="str">
        <f ca="1">IF(BF132&gt;0,IF(ISNUMBER(Schoonmaaknormen!F132),Schoonmaaknormen!BF132/Schoonmaaknormen!F132,0),"")</f>
        <v/>
      </c>
      <c r="BW132" s="314" t="str">
        <f ca="1">IF(BG132&gt;0,IF(ISNUMBER(Schoonmaaknormen!G132),Schoonmaaknormen!BG132/Schoonmaaknormen!G132,0),"")</f>
        <v/>
      </c>
      <c r="BX132" s="314" t="str">
        <f ca="1">IF(BH132&gt;0,IF(ISNUMBER(Schoonmaaknormen!H132),Schoonmaaknormen!BH132/Schoonmaaknormen!H132,0),"")</f>
        <v/>
      </c>
      <c r="BY132" s="314" t="str">
        <f ca="1">IF(BI132&gt;0,IF(ISNUMBER(Schoonmaaknormen!I132),Schoonmaaknormen!BI132/Schoonmaaknormen!I132,0),"")</f>
        <v/>
      </c>
      <c r="BZ132" s="314" t="str">
        <f ca="1">IF(BJ132&gt;0,IF(ISNUMBER(Schoonmaaknormen!J132),Schoonmaaknormen!BJ132/Schoonmaaknormen!J132,0),"")</f>
        <v/>
      </c>
      <c r="CA132" s="549"/>
      <c r="CB132" s="553"/>
    </row>
    <row r="133" spans="1:80" ht="0.2" customHeight="1" x14ac:dyDescent="0.2">
      <c r="A133" s="172">
        <f ca="1">Ruimtestaat!A133</f>
        <v>2</v>
      </c>
      <c r="B133" s="557"/>
      <c r="C133" s="11">
        <v>52</v>
      </c>
      <c r="D133" s="309"/>
      <c r="E133" s="310"/>
      <c r="F133" s="310"/>
      <c r="G133" s="310"/>
      <c r="H133" s="310"/>
      <c r="I133" s="312"/>
      <c r="J133" s="312"/>
      <c r="K133" s="561"/>
      <c r="L133" s="553"/>
      <c r="M133" s="172" t="b">
        <f>IF(_xlfn.XLOOKUP(BB133,Tabel2[Locatiecode],Tabel2[Type locatie],"",0)="vaccin",TRUE,FALSE)</f>
        <v>0</v>
      </c>
      <c r="BB133" s="284" t="str">
        <f>IF(Ruimtestaat!BC133="","",Ruimtestaat!BC133)</f>
        <v>JUL-MDZ</v>
      </c>
      <c r="BC133" s="285">
        <f t="shared" si="4"/>
        <v>52</v>
      </c>
      <c r="BD133" s="286">
        <f ca="1">Ruimtestaat!D133*$BC133</f>
        <v>0</v>
      </c>
      <c r="BE133" s="287">
        <f ca="1">Ruimtestaat!E133*$BC133</f>
        <v>0</v>
      </c>
      <c r="BF133" s="287">
        <f ca="1">Ruimtestaat!F133*$BC133</f>
        <v>0</v>
      </c>
      <c r="BG133" s="287">
        <f ca="1">Ruimtestaat!G133*$BC133</f>
        <v>0</v>
      </c>
      <c r="BH133" s="287">
        <f ca="1">Ruimtestaat!H133*$BC133</f>
        <v>0</v>
      </c>
      <c r="BI133" s="288">
        <f ca="1">Ruimtestaat!I133*$BC133</f>
        <v>0</v>
      </c>
      <c r="BJ133" s="289">
        <f ca="1">Ruimtestaat!J133*$BC133</f>
        <v>0</v>
      </c>
      <c r="BK133" s="553"/>
      <c r="BR133" s="284" t="str">
        <f>IF(Ruimtestaat!BC133="","",Ruimtestaat!BC133)</f>
        <v>JUL-MDZ</v>
      </c>
      <c r="BS133" s="285">
        <f t="shared" si="5"/>
        <v>52</v>
      </c>
      <c r="BT133" s="286" t="str">
        <f ca="1">IF(BD133&gt;0,IF(ISNUMBER(Schoonmaaknormen!D133),Schoonmaaknormen!BD133/Schoonmaaknormen!D133,0),"")</f>
        <v/>
      </c>
      <c r="BU133" s="287" t="str">
        <f ca="1">IF(BE133&gt;0,IF(ISNUMBER(Schoonmaaknormen!E133),Schoonmaaknormen!BE133/Schoonmaaknormen!E133,0),"")</f>
        <v/>
      </c>
      <c r="BV133" s="287" t="str">
        <f ca="1">IF(BF133&gt;0,IF(ISNUMBER(Schoonmaaknormen!F133),Schoonmaaknormen!BF133/Schoonmaaknormen!F133,0),"")</f>
        <v/>
      </c>
      <c r="BW133" s="287" t="str">
        <f ca="1">IF(BG133&gt;0,IF(ISNUMBER(Schoonmaaknormen!G133),Schoonmaaknormen!BG133/Schoonmaaknormen!G133,0),"")</f>
        <v/>
      </c>
      <c r="BX133" s="287" t="str">
        <f ca="1">IF(BH133&gt;0,IF(ISNUMBER(Schoonmaaknormen!H133),Schoonmaaknormen!BH133/Schoonmaaknormen!H133,0),"")</f>
        <v/>
      </c>
      <c r="BY133" s="287" t="str">
        <f ca="1">IF(BI133&gt;0,IF(ISNUMBER(Schoonmaaknormen!I133),Schoonmaaknormen!BI133/Schoonmaaknormen!I133,0),"")</f>
        <v/>
      </c>
      <c r="BZ133" s="287" t="str">
        <f ca="1">IF(BJ133&gt;0,IF(ISNUMBER(Schoonmaaknormen!J133),Schoonmaaknormen!BJ133/Schoonmaaknormen!J133,0),"")</f>
        <v/>
      </c>
      <c r="CA133" s="549"/>
      <c r="CB133" s="553"/>
    </row>
    <row r="134" spans="1:80" ht="0.2" customHeight="1" x14ac:dyDescent="0.2">
      <c r="A134" s="172">
        <f ca="1">Ruimtestaat!A134</f>
        <v>2</v>
      </c>
      <c r="B134" s="558"/>
      <c r="C134" s="290">
        <v>4</v>
      </c>
      <c r="D134" s="186"/>
      <c r="E134" s="187"/>
      <c r="F134" s="187"/>
      <c r="G134" s="187"/>
      <c r="H134" s="187"/>
      <c r="I134" s="189"/>
      <c r="J134" s="189"/>
      <c r="K134" s="562"/>
      <c r="L134" s="554"/>
      <c r="M134" s="172" t="b">
        <f>IF(_xlfn.XLOOKUP(BB134,Tabel2[Locatiecode],Tabel2[Type locatie],"",0)="vaccin",TRUE,FALSE)</f>
        <v>0</v>
      </c>
      <c r="BB134" s="291" t="str">
        <f>IF(Ruimtestaat!BC134="","",Ruimtestaat!BC134)</f>
        <v>JUL-MDZ</v>
      </c>
      <c r="BC134" s="292">
        <f t="shared" si="4"/>
        <v>4</v>
      </c>
      <c r="BD134" s="293">
        <f ca="1">Ruimtestaat!D134*$BC134</f>
        <v>0</v>
      </c>
      <c r="BE134" s="294">
        <f ca="1">Ruimtestaat!E134*$BC134</f>
        <v>0</v>
      </c>
      <c r="BF134" s="294">
        <f ca="1">Ruimtestaat!F134*$BC134</f>
        <v>0</v>
      </c>
      <c r="BG134" s="294">
        <f ca="1">Ruimtestaat!G134*$BC134</f>
        <v>0</v>
      </c>
      <c r="BH134" s="294">
        <f ca="1">Ruimtestaat!H134*$BC134</f>
        <v>0</v>
      </c>
      <c r="BI134" s="295">
        <f ca="1">Ruimtestaat!I134*$BC134</f>
        <v>0</v>
      </c>
      <c r="BJ134" s="296">
        <f ca="1">Ruimtestaat!J134*$BC134</f>
        <v>0</v>
      </c>
      <c r="BK134" s="554"/>
      <c r="BR134" s="291" t="str">
        <f>IF(Ruimtestaat!BC134="","",Ruimtestaat!BC134)</f>
        <v>JUL-MDZ</v>
      </c>
      <c r="BS134" s="292">
        <f t="shared" si="5"/>
        <v>4</v>
      </c>
      <c r="BT134" s="293" t="str">
        <f ca="1">IF(BD134&gt;0,IF(ISNUMBER(Schoonmaaknormen!D134),Schoonmaaknormen!BD134/Schoonmaaknormen!D134,0),"")</f>
        <v/>
      </c>
      <c r="BU134" s="294" t="str">
        <f ca="1">IF(BE134&gt;0,IF(ISNUMBER(Schoonmaaknormen!E134),Schoonmaaknormen!BE134/Schoonmaaknormen!E134,0),"")</f>
        <v/>
      </c>
      <c r="BV134" s="294" t="str">
        <f ca="1">IF(BF134&gt;0,IF(ISNUMBER(Schoonmaaknormen!F134),Schoonmaaknormen!BF134/Schoonmaaknormen!F134,0),"")</f>
        <v/>
      </c>
      <c r="BW134" s="294" t="str">
        <f ca="1">IF(BG134&gt;0,IF(ISNUMBER(Schoonmaaknormen!G134),Schoonmaaknormen!BG134/Schoonmaaknormen!G134,0),"")</f>
        <v/>
      </c>
      <c r="BX134" s="294" t="str">
        <f ca="1">IF(BH134&gt;0,IF(ISNUMBER(Schoonmaaknormen!H134),Schoonmaaknormen!BH134/Schoonmaaknormen!H134,0),"")</f>
        <v/>
      </c>
      <c r="BY134" s="294" t="str">
        <f ca="1">IF(BI134&gt;0,IF(ISNUMBER(Schoonmaaknormen!I134),Schoonmaaknormen!BI134/Schoonmaaknormen!I134,0),"")</f>
        <v/>
      </c>
      <c r="BZ134" s="294" t="str">
        <f ca="1">IF(BJ134&gt;0,IF(ISNUMBER(Schoonmaaknormen!J134),Schoonmaaknormen!BJ134/Schoonmaaknormen!J134,0),"")</f>
        <v/>
      </c>
      <c r="CA134" s="555"/>
      <c r="CB134" s="554"/>
    </row>
    <row r="135" spans="1:80" ht="15" customHeight="1" x14ac:dyDescent="0.2">
      <c r="A135" s="172">
        <f ca="1">Ruimtestaat!A135</f>
        <v>1</v>
      </c>
      <c r="B135" s="556" t="str">
        <f>BB135</f>
        <v>MDB-SMH</v>
      </c>
      <c r="C135" s="298">
        <v>255</v>
      </c>
      <c r="D135" s="299"/>
      <c r="E135" s="300"/>
      <c r="F135" s="300"/>
      <c r="G135" s="300"/>
      <c r="H135" s="300"/>
      <c r="I135" s="302"/>
      <c r="J135" s="302"/>
      <c r="K135" s="559"/>
      <c r="L135" s="551" t="str" cm="1">
        <f t="array" aca="1" ref="L135" ca="1">_xlfn.IFS(A135=2,"",COUNTBLANK(D135:J140)=COUNTIF(Ruimtestaat!D135:J140,"&lt;=0"),BK135/CB135,TRUE,"")</f>
        <v/>
      </c>
      <c r="M135" s="172" t="b">
        <f>IF(_xlfn.XLOOKUP(BB135,Tabel2[Locatiecode],Tabel2[Type locatie],"",0)="vaccin",TRUE,FALSE)</f>
        <v>0</v>
      </c>
      <c r="BB135" s="303" t="str">
        <f>IF(Ruimtestaat!BC135="","",Ruimtestaat!BC135)</f>
        <v>MDB-SMH</v>
      </c>
      <c r="BC135" s="304">
        <f t="shared" si="4"/>
        <v>255</v>
      </c>
      <c r="BD135" s="305">
        <f ca="1">Ruimtestaat!D135*$BC135</f>
        <v>18436.5</v>
      </c>
      <c r="BE135" s="306">
        <f ca="1">Ruimtestaat!E135*$BC135</f>
        <v>15963</v>
      </c>
      <c r="BF135" s="306">
        <f ca="1">Ruimtestaat!F135*$BC135</f>
        <v>11679</v>
      </c>
      <c r="BG135" s="306">
        <f ca="1">Ruimtestaat!G135*$BC135</f>
        <v>4921.5</v>
      </c>
      <c r="BH135" s="306">
        <f ca="1">Ruimtestaat!H135*$BC135</f>
        <v>1351.5</v>
      </c>
      <c r="BI135" s="307">
        <f ca="1">Ruimtestaat!I135*$BC135</f>
        <v>10021.5</v>
      </c>
      <c r="BJ135" s="308">
        <f ca="1">Ruimtestaat!J135*$BC135</f>
        <v>0</v>
      </c>
      <c r="BK135" s="552">
        <f ca="1">SUM(BD135:BJ140)</f>
        <v>62373</v>
      </c>
      <c r="BR135" s="303" t="str">
        <f>IF(Ruimtestaat!BC135="","",Ruimtestaat!BC135)</f>
        <v>MDB-SMH</v>
      </c>
      <c r="BS135" s="304">
        <f t="shared" si="5"/>
        <v>255</v>
      </c>
      <c r="BT135" s="305">
        <f ca="1">IF(BD135&gt;0,IF(ISNUMBER(Schoonmaaknormen!D135),Schoonmaaknormen!BD135/Schoonmaaknormen!D135,0),"")</f>
        <v>0</v>
      </c>
      <c r="BU135" s="306">
        <f ca="1">IF(BE135&gt;0,IF(ISNUMBER(Schoonmaaknormen!E135),Schoonmaaknormen!BE135/Schoonmaaknormen!E135,0),"")</f>
        <v>0</v>
      </c>
      <c r="BV135" s="306">
        <f ca="1">IF(BF135&gt;0,IF(ISNUMBER(Schoonmaaknormen!F135),Schoonmaaknormen!BF135/Schoonmaaknormen!F135,0),"")</f>
        <v>0</v>
      </c>
      <c r="BW135" s="306">
        <f ca="1">IF(BG135&gt;0,IF(ISNUMBER(Schoonmaaknormen!G135),Schoonmaaknormen!BG135/Schoonmaaknormen!G135,0),"")</f>
        <v>0</v>
      </c>
      <c r="BX135" s="306">
        <f ca="1">IF(BH135&gt;0,IF(ISNUMBER(Schoonmaaknormen!H135),Schoonmaaknormen!BH135/Schoonmaaknormen!H135,0),"")</f>
        <v>0</v>
      </c>
      <c r="BY135" s="306">
        <f ca="1">IF(BI135&gt;0,IF(ISNUMBER(Schoonmaaknormen!I135),Schoonmaaknormen!BI135/Schoonmaaknormen!I135,0),"")</f>
        <v>0</v>
      </c>
      <c r="BZ135" s="306" t="str">
        <f ca="1">IF(BJ135&gt;0,IF(ISNUMBER(Schoonmaaknormen!J135),Schoonmaaknormen!BJ135/Schoonmaaknormen!J135,0),"")</f>
        <v/>
      </c>
      <c r="CA135" s="547" t="str" cm="1">
        <f t="array" ref="CA135">IF(ISNUMBER(K135),IF(SUM(BT135:BZ140)/LARGE(_xlfn._xlws.FILTER(Ruimtestaat!BD:BD,Ruimtestaat!BC:BC=BR135),1)&lt;K135,K135*LARGE(_xlfn._xlws.FILTER(Ruimtestaat!BD:BD,Ruimtestaat!BC:BC=BR135),1)-SUM(BT135:BZ140),0),"")</f>
        <v/>
      </c>
      <c r="CB135" s="551">
        <f ca="1">SUM(BT135:CA140)</f>
        <v>0</v>
      </c>
    </row>
    <row r="136" spans="1:80" ht="0.2" customHeight="1" x14ac:dyDescent="0.2">
      <c r="A136" s="172">
        <f ca="1">Ruimtestaat!A136</f>
        <v>2</v>
      </c>
      <c r="B136" s="557"/>
      <c r="C136" s="11">
        <v>204</v>
      </c>
      <c r="D136" s="309"/>
      <c r="E136" s="310"/>
      <c r="F136" s="310"/>
      <c r="G136" s="310"/>
      <c r="H136" s="310"/>
      <c r="I136" s="312"/>
      <c r="J136" s="312"/>
      <c r="K136" s="560"/>
      <c r="L136" s="552"/>
      <c r="M136" s="172" t="b">
        <f>IF(_xlfn.XLOOKUP(BB136,Tabel2[Locatiecode],Tabel2[Type locatie],"",0)="vaccin",TRUE,FALSE)</f>
        <v>0</v>
      </c>
      <c r="BB136" s="272" t="str">
        <f>IF(Ruimtestaat!BC136="","",Ruimtestaat!BC136)</f>
        <v>MDB-SMH</v>
      </c>
      <c r="BC136" s="273">
        <f t="shared" si="4"/>
        <v>204</v>
      </c>
      <c r="BD136" s="274">
        <f ca="1">Ruimtestaat!D136*$BC136</f>
        <v>0</v>
      </c>
      <c r="BE136" s="275">
        <f ca="1">Ruimtestaat!E136*$BC136</f>
        <v>0</v>
      </c>
      <c r="BF136" s="275">
        <f ca="1">Ruimtestaat!F136*$BC136</f>
        <v>0</v>
      </c>
      <c r="BG136" s="275">
        <f ca="1">Ruimtestaat!G136*$BC136</f>
        <v>0</v>
      </c>
      <c r="BH136" s="275">
        <f ca="1">Ruimtestaat!H136*$BC136</f>
        <v>0</v>
      </c>
      <c r="BI136" s="276">
        <f ca="1">Ruimtestaat!I136*$BC136</f>
        <v>0</v>
      </c>
      <c r="BJ136" s="277">
        <f ca="1">Ruimtestaat!J136*$BC136</f>
        <v>0</v>
      </c>
      <c r="BK136" s="552"/>
      <c r="BR136" s="272" t="str">
        <f>IF(Ruimtestaat!BC136="","",Ruimtestaat!BC136)</f>
        <v>MDB-SMH</v>
      </c>
      <c r="BS136" s="273">
        <f t="shared" si="5"/>
        <v>204</v>
      </c>
      <c r="BT136" s="274" t="str">
        <f ca="1">IF(BD136&gt;0,IF(ISNUMBER(Schoonmaaknormen!D136),Schoonmaaknormen!BD136/Schoonmaaknormen!D136,0),"")</f>
        <v/>
      </c>
      <c r="BU136" s="275" t="str">
        <f ca="1">IF(BE136&gt;0,IF(ISNUMBER(Schoonmaaknormen!E136),Schoonmaaknormen!BE136/Schoonmaaknormen!E136,0),"")</f>
        <v/>
      </c>
      <c r="BV136" s="275" t="str">
        <f ca="1">IF(BF136&gt;0,IF(ISNUMBER(Schoonmaaknormen!F136),Schoonmaaknormen!BF136/Schoonmaaknormen!F136,0),"")</f>
        <v/>
      </c>
      <c r="BW136" s="275" t="str">
        <f ca="1">IF(BG136&gt;0,IF(ISNUMBER(Schoonmaaknormen!G136),Schoonmaaknormen!BG136/Schoonmaaknormen!G136,0),"")</f>
        <v/>
      </c>
      <c r="BX136" s="275" t="str">
        <f ca="1">IF(BH136&gt;0,IF(ISNUMBER(Schoonmaaknormen!H136),Schoonmaaknormen!BH136/Schoonmaaknormen!H136,0),"")</f>
        <v/>
      </c>
      <c r="BY136" s="275" t="str">
        <f ca="1">IF(BI136&gt;0,IF(ISNUMBER(Schoonmaaknormen!I136),Schoonmaaknormen!BI136/Schoonmaaknormen!I136,0),"")</f>
        <v/>
      </c>
      <c r="BZ136" s="275" t="str">
        <f ca="1">IF(BJ136&gt;0,IF(ISNUMBER(Schoonmaaknormen!J136),Schoonmaaknormen!BJ136/Schoonmaaknormen!J136,0),"")</f>
        <v/>
      </c>
      <c r="CA136" s="548"/>
      <c r="CB136" s="552"/>
    </row>
    <row r="137" spans="1:80" ht="0.2" customHeight="1" x14ac:dyDescent="0.2">
      <c r="A137" s="172">
        <f ca="1">Ruimtestaat!A137</f>
        <v>2</v>
      </c>
      <c r="B137" s="557"/>
      <c r="C137" s="11">
        <v>156</v>
      </c>
      <c r="D137" s="309"/>
      <c r="E137" s="310"/>
      <c r="F137" s="310"/>
      <c r="G137" s="310"/>
      <c r="H137" s="310"/>
      <c r="I137" s="312"/>
      <c r="J137" s="312"/>
      <c r="K137" s="560"/>
      <c r="L137" s="552"/>
      <c r="M137" s="172" t="b">
        <f>IF(_xlfn.XLOOKUP(BB137,Tabel2[Locatiecode],Tabel2[Type locatie],"",0)="vaccin",TRUE,FALSE)</f>
        <v>0</v>
      </c>
      <c r="BB137" s="272" t="str">
        <f>IF(Ruimtestaat!BC137="","",Ruimtestaat!BC137)</f>
        <v>MDB-SMH</v>
      </c>
      <c r="BC137" s="273">
        <f t="shared" si="4"/>
        <v>156</v>
      </c>
      <c r="BD137" s="274">
        <f ca="1">Ruimtestaat!D137*$BC137</f>
        <v>0</v>
      </c>
      <c r="BE137" s="275">
        <f ca="1">Ruimtestaat!E137*$BC137</f>
        <v>0</v>
      </c>
      <c r="BF137" s="275">
        <f ca="1">Ruimtestaat!F137*$BC137</f>
        <v>0</v>
      </c>
      <c r="BG137" s="275">
        <f ca="1">Ruimtestaat!G137*$BC137</f>
        <v>0</v>
      </c>
      <c r="BH137" s="275">
        <f ca="1">Ruimtestaat!H137*$BC137</f>
        <v>0</v>
      </c>
      <c r="BI137" s="276">
        <f ca="1">Ruimtestaat!I137*$BC137</f>
        <v>0</v>
      </c>
      <c r="BJ137" s="277">
        <f ca="1">Ruimtestaat!J137*$BC137</f>
        <v>0</v>
      </c>
      <c r="BK137" s="552"/>
      <c r="BR137" s="272" t="str">
        <f>IF(Ruimtestaat!BC137="","",Ruimtestaat!BC137)</f>
        <v>MDB-SMH</v>
      </c>
      <c r="BS137" s="273">
        <f t="shared" si="5"/>
        <v>156</v>
      </c>
      <c r="BT137" s="274" t="str">
        <f ca="1">IF(BD137&gt;0,IF(ISNUMBER(Schoonmaaknormen!D137),Schoonmaaknormen!BD137/Schoonmaaknormen!D137,0),"")</f>
        <v/>
      </c>
      <c r="BU137" s="275" t="str">
        <f ca="1">IF(BE137&gt;0,IF(ISNUMBER(Schoonmaaknormen!E137),Schoonmaaknormen!BE137/Schoonmaaknormen!E137,0),"")</f>
        <v/>
      </c>
      <c r="BV137" s="275" t="str">
        <f ca="1">IF(BF137&gt;0,IF(ISNUMBER(Schoonmaaknormen!F137),Schoonmaaknormen!BF137/Schoonmaaknormen!F137,0),"")</f>
        <v/>
      </c>
      <c r="BW137" s="275" t="str">
        <f ca="1">IF(BG137&gt;0,IF(ISNUMBER(Schoonmaaknormen!G137),Schoonmaaknormen!BG137/Schoonmaaknormen!G137,0),"")</f>
        <v/>
      </c>
      <c r="BX137" s="275" t="str">
        <f ca="1">IF(BH137&gt;0,IF(ISNUMBER(Schoonmaaknormen!H137),Schoonmaaknormen!BH137/Schoonmaaknormen!H137,0),"")</f>
        <v/>
      </c>
      <c r="BY137" s="275" t="str">
        <f ca="1">IF(BI137&gt;0,IF(ISNUMBER(Schoonmaaknormen!I137),Schoonmaaknormen!BI137/Schoonmaaknormen!I137,0),"")</f>
        <v/>
      </c>
      <c r="BZ137" s="275" t="str">
        <f ca="1">IF(BJ137&gt;0,IF(ISNUMBER(Schoonmaaknormen!J137),Schoonmaaknormen!BJ137/Schoonmaaknormen!J137,0),"")</f>
        <v/>
      </c>
      <c r="CA137" s="548"/>
      <c r="CB137" s="552"/>
    </row>
    <row r="138" spans="1:80" ht="0.2" customHeight="1" x14ac:dyDescent="0.2">
      <c r="A138" s="172">
        <f ca="1">Ruimtestaat!A138</f>
        <v>2</v>
      </c>
      <c r="B138" s="557"/>
      <c r="C138" s="11">
        <v>104</v>
      </c>
      <c r="D138" s="309"/>
      <c r="E138" s="310"/>
      <c r="F138" s="310"/>
      <c r="G138" s="310"/>
      <c r="H138" s="310"/>
      <c r="I138" s="312"/>
      <c r="J138" s="312"/>
      <c r="K138" s="561"/>
      <c r="L138" s="553"/>
      <c r="M138" s="172" t="b">
        <f>IF(_xlfn.XLOOKUP(BB138,Tabel2[Locatiecode],Tabel2[Type locatie],"",0)="vaccin",TRUE,FALSE)</f>
        <v>0</v>
      </c>
      <c r="BB138" s="278" t="str">
        <f>IF(Ruimtestaat!BC138="","",Ruimtestaat!BC138)</f>
        <v>MDB-SMH</v>
      </c>
      <c r="BC138" s="279">
        <f t="shared" si="4"/>
        <v>104</v>
      </c>
      <c r="BD138" s="280">
        <f ca="1">Ruimtestaat!D138*$BC138</f>
        <v>0</v>
      </c>
      <c r="BE138" s="281">
        <f ca="1">Ruimtestaat!E138*$BC138</f>
        <v>0</v>
      </c>
      <c r="BF138" s="281">
        <f ca="1">Ruimtestaat!F138*$BC138</f>
        <v>0</v>
      </c>
      <c r="BG138" s="281">
        <f ca="1">Ruimtestaat!G138*$BC138</f>
        <v>0</v>
      </c>
      <c r="BH138" s="281">
        <f ca="1">Ruimtestaat!H138*$BC138</f>
        <v>0</v>
      </c>
      <c r="BI138" s="282">
        <f ca="1">Ruimtestaat!I138*$BC138</f>
        <v>0</v>
      </c>
      <c r="BJ138" s="283">
        <f ca="1">Ruimtestaat!J138*$BC138</f>
        <v>0</v>
      </c>
      <c r="BK138" s="553"/>
      <c r="BR138" s="278" t="str">
        <f>IF(Ruimtestaat!BC138="","",Ruimtestaat!BC138)</f>
        <v>MDB-SMH</v>
      </c>
      <c r="BS138" s="313">
        <f t="shared" si="5"/>
        <v>104</v>
      </c>
      <c r="BT138" s="280" t="str">
        <f ca="1">IF(BD138&gt;0,IF(ISNUMBER(Schoonmaaknormen!D138),Schoonmaaknormen!BD138/Schoonmaaknormen!D138,0),"")</f>
        <v/>
      </c>
      <c r="BU138" s="314" t="str">
        <f ca="1">IF(BE138&gt;0,IF(ISNUMBER(Schoonmaaknormen!E138),Schoonmaaknormen!BE138/Schoonmaaknormen!E138,0),"")</f>
        <v/>
      </c>
      <c r="BV138" s="314" t="str">
        <f ca="1">IF(BF138&gt;0,IF(ISNUMBER(Schoonmaaknormen!F138),Schoonmaaknormen!BF138/Schoonmaaknormen!F138,0),"")</f>
        <v/>
      </c>
      <c r="BW138" s="314" t="str">
        <f ca="1">IF(BG138&gt;0,IF(ISNUMBER(Schoonmaaknormen!G138),Schoonmaaknormen!BG138/Schoonmaaknormen!G138,0),"")</f>
        <v/>
      </c>
      <c r="BX138" s="314" t="str">
        <f ca="1">IF(BH138&gt;0,IF(ISNUMBER(Schoonmaaknormen!H138),Schoonmaaknormen!BH138/Schoonmaaknormen!H138,0),"")</f>
        <v/>
      </c>
      <c r="BY138" s="314" t="str">
        <f ca="1">IF(BI138&gt;0,IF(ISNUMBER(Schoonmaaknormen!I138),Schoonmaaknormen!BI138/Schoonmaaknormen!I138,0),"")</f>
        <v/>
      </c>
      <c r="BZ138" s="314" t="str">
        <f ca="1">IF(BJ138&gt;0,IF(ISNUMBER(Schoonmaaknormen!J138),Schoonmaaknormen!BJ138/Schoonmaaknormen!J138,0),"")</f>
        <v/>
      </c>
      <c r="CA138" s="549"/>
      <c r="CB138" s="553"/>
    </row>
    <row r="139" spans="1:80" ht="0.2" customHeight="1" x14ac:dyDescent="0.2">
      <c r="A139" s="172">
        <f ca="1">Ruimtestaat!A139</f>
        <v>2</v>
      </c>
      <c r="B139" s="557"/>
      <c r="C139" s="11">
        <v>52</v>
      </c>
      <c r="D139" s="309"/>
      <c r="E139" s="310"/>
      <c r="F139" s="310"/>
      <c r="G139" s="310"/>
      <c r="H139" s="310"/>
      <c r="I139" s="312"/>
      <c r="J139" s="312"/>
      <c r="K139" s="561"/>
      <c r="L139" s="553"/>
      <c r="M139" s="172" t="b">
        <f>IF(_xlfn.XLOOKUP(BB139,Tabel2[Locatiecode],Tabel2[Type locatie],"",0)="vaccin",TRUE,FALSE)</f>
        <v>0</v>
      </c>
      <c r="BB139" s="284" t="str">
        <f>IF(Ruimtestaat!BC139="","",Ruimtestaat!BC139)</f>
        <v>MDB-SMH</v>
      </c>
      <c r="BC139" s="285">
        <f t="shared" si="4"/>
        <v>52</v>
      </c>
      <c r="BD139" s="286">
        <f ca="1">Ruimtestaat!D139*$BC139</f>
        <v>0</v>
      </c>
      <c r="BE139" s="287">
        <f ca="1">Ruimtestaat!E139*$BC139</f>
        <v>0</v>
      </c>
      <c r="BF139" s="287">
        <f ca="1">Ruimtestaat!F139*$BC139</f>
        <v>0</v>
      </c>
      <c r="BG139" s="287">
        <f ca="1">Ruimtestaat!G139*$BC139</f>
        <v>0</v>
      </c>
      <c r="BH139" s="287">
        <f ca="1">Ruimtestaat!H139*$BC139</f>
        <v>0</v>
      </c>
      <c r="BI139" s="288">
        <f ca="1">Ruimtestaat!I139*$BC139</f>
        <v>0</v>
      </c>
      <c r="BJ139" s="289">
        <f ca="1">Ruimtestaat!J139*$BC139</f>
        <v>0</v>
      </c>
      <c r="BK139" s="553"/>
      <c r="BR139" s="284" t="str">
        <f>IF(Ruimtestaat!BC139="","",Ruimtestaat!BC139)</f>
        <v>MDB-SMH</v>
      </c>
      <c r="BS139" s="285">
        <f t="shared" si="5"/>
        <v>52</v>
      </c>
      <c r="BT139" s="286" t="str">
        <f ca="1">IF(BD139&gt;0,IF(ISNUMBER(Schoonmaaknormen!D139),Schoonmaaknormen!BD139/Schoonmaaknormen!D139,0),"")</f>
        <v/>
      </c>
      <c r="BU139" s="287" t="str">
        <f ca="1">IF(BE139&gt;0,IF(ISNUMBER(Schoonmaaknormen!E139),Schoonmaaknormen!BE139/Schoonmaaknormen!E139,0),"")</f>
        <v/>
      </c>
      <c r="BV139" s="287" t="str">
        <f ca="1">IF(BF139&gt;0,IF(ISNUMBER(Schoonmaaknormen!F139),Schoonmaaknormen!BF139/Schoonmaaknormen!F139,0),"")</f>
        <v/>
      </c>
      <c r="BW139" s="287" t="str">
        <f ca="1">IF(BG139&gt;0,IF(ISNUMBER(Schoonmaaknormen!G139),Schoonmaaknormen!BG139/Schoonmaaknormen!G139,0),"")</f>
        <v/>
      </c>
      <c r="BX139" s="287" t="str">
        <f ca="1">IF(BH139&gt;0,IF(ISNUMBER(Schoonmaaknormen!H139),Schoonmaaknormen!BH139/Schoonmaaknormen!H139,0),"")</f>
        <v/>
      </c>
      <c r="BY139" s="287" t="str">
        <f ca="1">IF(BI139&gt;0,IF(ISNUMBER(Schoonmaaknormen!I139),Schoonmaaknormen!BI139/Schoonmaaknormen!I139,0),"")</f>
        <v/>
      </c>
      <c r="BZ139" s="287" t="str">
        <f ca="1">IF(BJ139&gt;0,IF(ISNUMBER(Schoonmaaknormen!J139),Schoonmaaknormen!BJ139/Schoonmaaknormen!J139,0),"")</f>
        <v/>
      </c>
      <c r="CA139" s="549"/>
      <c r="CB139" s="553"/>
    </row>
    <row r="140" spans="1:80" ht="0.2" customHeight="1" x14ac:dyDescent="0.2">
      <c r="A140" s="172">
        <f ca="1">Ruimtestaat!A140</f>
        <v>2</v>
      </c>
      <c r="B140" s="558"/>
      <c r="C140" s="290">
        <v>4</v>
      </c>
      <c r="D140" s="186"/>
      <c r="E140" s="187"/>
      <c r="F140" s="187"/>
      <c r="G140" s="187"/>
      <c r="H140" s="187"/>
      <c r="I140" s="189"/>
      <c r="J140" s="189"/>
      <c r="K140" s="562"/>
      <c r="L140" s="554"/>
      <c r="M140" s="172" t="b">
        <f>IF(_xlfn.XLOOKUP(BB140,Tabel2[Locatiecode],Tabel2[Type locatie],"",0)="vaccin",TRUE,FALSE)</f>
        <v>0</v>
      </c>
      <c r="BB140" s="291" t="str">
        <f>IF(Ruimtestaat!BC140="","",Ruimtestaat!BC140)</f>
        <v>MDB-SMH</v>
      </c>
      <c r="BC140" s="292">
        <f t="shared" si="4"/>
        <v>4</v>
      </c>
      <c r="BD140" s="293">
        <f ca="1">Ruimtestaat!D140*$BC140</f>
        <v>0</v>
      </c>
      <c r="BE140" s="294">
        <f ca="1">Ruimtestaat!E140*$BC140</f>
        <v>0</v>
      </c>
      <c r="BF140" s="294">
        <f ca="1">Ruimtestaat!F140*$BC140</f>
        <v>0</v>
      </c>
      <c r="BG140" s="294">
        <f ca="1">Ruimtestaat!G140*$BC140</f>
        <v>0</v>
      </c>
      <c r="BH140" s="294">
        <f ca="1">Ruimtestaat!H140*$BC140</f>
        <v>0</v>
      </c>
      <c r="BI140" s="295">
        <f ca="1">Ruimtestaat!I140*$BC140</f>
        <v>0</v>
      </c>
      <c r="BJ140" s="296">
        <f ca="1">Ruimtestaat!J140*$BC140</f>
        <v>0</v>
      </c>
      <c r="BK140" s="554"/>
      <c r="BR140" s="291" t="str">
        <f>IF(Ruimtestaat!BC140="","",Ruimtestaat!BC140)</f>
        <v>MDB-SMH</v>
      </c>
      <c r="BS140" s="292">
        <f t="shared" si="5"/>
        <v>4</v>
      </c>
      <c r="BT140" s="293" t="str">
        <f ca="1">IF(BD140&gt;0,IF(ISNUMBER(Schoonmaaknormen!D140),Schoonmaaknormen!BD140/Schoonmaaknormen!D140,0),"")</f>
        <v/>
      </c>
      <c r="BU140" s="294" t="str">
        <f ca="1">IF(BE140&gt;0,IF(ISNUMBER(Schoonmaaknormen!E140),Schoonmaaknormen!BE140/Schoonmaaknormen!E140,0),"")</f>
        <v/>
      </c>
      <c r="BV140" s="294" t="str">
        <f ca="1">IF(BF140&gt;0,IF(ISNUMBER(Schoonmaaknormen!F140),Schoonmaaknormen!BF140/Schoonmaaknormen!F140,0),"")</f>
        <v/>
      </c>
      <c r="BW140" s="294" t="str">
        <f ca="1">IF(BG140&gt;0,IF(ISNUMBER(Schoonmaaknormen!G140),Schoonmaaknormen!BG140/Schoonmaaknormen!G140,0),"")</f>
        <v/>
      </c>
      <c r="BX140" s="294" t="str">
        <f ca="1">IF(BH140&gt;0,IF(ISNUMBER(Schoonmaaknormen!H140),Schoonmaaknormen!BH140/Schoonmaaknormen!H140,0),"")</f>
        <v/>
      </c>
      <c r="BY140" s="294" t="str">
        <f ca="1">IF(BI140&gt;0,IF(ISNUMBER(Schoonmaaknormen!I140),Schoonmaaknormen!BI140/Schoonmaaknormen!I140,0),"")</f>
        <v/>
      </c>
      <c r="BZ140" s="294" t="str">
        <f ca="1">IF(BJ140&gt;0,IF(ISNUMBER(Schoonmaaknormen!J140),Schoonmaaknormen!BJ140/Schoonmaaknormen!J140,0),"")</f>
        <v/>
      </c>
      <c r="CA140" s="555"/>
      <c r="CB140" s="554"/>
    </row>
    <row r="141" spans="1:80" ht="0.2" customHeight="1" x14ac:dyDescent="0.2">
      <c r="A141" s="172">
        <f ca="1">Ruimtestaat!A141</f>
        <v>2</v>
      </c>
      <c r="B141" s="556" t="str">
        <f>BB141</f>
        <v>MDM-AGP</v>
      </c>
      <c r="C141" s="298">
        <v>255</v>
      </c>
      <c r="D141" s="299"/>
      <c r="E141" s="300"/>
      <c r="F141" s="300"/>
      <c r="G141" s="300"/>
      <c r="H141" s="300"/>
      <c r="I141" s="302"/>
      <c r="J141" s="302"/>
      <c r="K141" s="559"/>
      <c r="L141" s="551" t="str" cm="1">
        <f t="array" aca="1" ref="L141" ca="1">_xlfn.IFS(A141=2,"",COUNTBLANK(D141:J146)=COUNTIF(Ruimtestaat!D141:J146,"&lt;=0"),BK141/CB141,TRUE,"")</f>
        <v/>
      </c>
      <c r="M141" s="172" t="b">
        <f>IF(_xlfn.XLOOKUP(BB141,Tabel2[Locatiecode],Tabel2[Type locatie],"",0)="vaccin",TRUE,FALSE)</f>
        <v>1</v>
      </c>
      <c r="BB141" s="303" t="str">
        <f>IF(Ruimtestaat!BC141="","",Ruimtestaat!BC141)</f>
        <v>MDM-AGP</v>
      </c>
      <c r="BC141" s="304">
        <f t="shared" si="4"/>
        <v>255</v>
      </c>
      <c r="BD141" s="305">
        <f>Ruimtestaat!D141*$BC141</f>
        <v>0</v>
      </c>
      <c r="BE141" s="306">
        <f>Ruimtestaat!E141*$BC141</f>
        <v>0</v>
      </c>
      <c r="BF141" s="306">
        <f>Ruimtestaat!F141*$BC141</f>
        <v>0</v>
      </c>
      <c r="BG141" s="306">
        <f>Ruimtestaat!G141*$BC141</f>
        <v>0</v>
      </c>
      <c r="BH141" s="306">
        <f>Ruimtestaat!H141*$BC141</f>
        <v>0</v>
      </c>
      <c r="BI141" s="307">
        <f>Ruimtestaat!I141*$BC141</f>
        <v>0</v>
      </c>
      <c r="BJ141" s="308">
        <f>Ruimtestaat!J141*$BC141</f>
        <v>0</v>
      </c>
      <c r="BK141" s="552">
        <f>SUM(BD141:BJ146)</f>
        <v>0</v>
      </c>
      <c r="BR141" s="303" t="str">
        <f>IF(Ruimtestaat!BC141="","",Ruimtestaat!BC141)</f>
        <v>MDM-AGP</v>
      </c>
      <c r="BS141" s="304">
        <f t="shared" si="5"/>
        <v>255</v>
      </c>
      <c r="BT141" s="305" t="str">
        <f>IF(BD141&gt;0,IF(ISNUMBER(Schoonmaaknormen!D141),Schoonmaaknormen!BD141/Schoonmaaknormen!D141,0),"")</f>
        <v/>
      </c>
      <c r="BU141" s="306" t="str">
        <f>IF(BE141&gt;0,IF(ISNUMBER(Schoonmaaknormen!E141),Schoonmaaknormen!BE141/Schoonmaaknormen!E141,0),"")</f>
        <v/>
      </c>
      <c r="BV141" s="306" t="str">
        <f>IF(BF141&gt;0,IF(ISNUMBER(Schoonmaaknormen!F141),Schoonmaaknormen!BF141/Schoonmaaknormen!F141,0),"")</f>
        <v/>
      </c>
      <c r="BW141" s="306" t="str">
        <f>IF(BG141&gt;0,IF(ISNUMBER(Schoonmaaknormen!G141),Schoonmaaknormen!BG141/Schoonmaaknormen!G141,0),"")</f>
        <v/>
      </c>
      <c r="BX141" s="306" t="str">
        <f>IF(BH141&gt;0,IF(ISNUMBER(Schoonmaaknormen!H141),Schoonmaaknormen!BH141/Schoonmaaknormen!H141,0),"")</f>
        <v/>
      </c>
      <c r="BY141" s="306" t="str">
        <f>IF(BI141&gt;0,IF(ISNUMBER(Schoonmaaknormen!I141),Schoonmaaknormen!BI141/Schoonmaaknormen!I141,0),"")</f>
        <v/>
      </c>
      <c r="BZ141" s="306" t="str">
        <f>IF(BJ141&gt;0,IF(ISNUMBER(Schoonmaaknormen!J141),Schoonmaaknormen!BJ141/Schoonmaaknormen!J141,0),"")</f>
        <v/>
      </c>
      <c r="CA141" s="547" t="str" cm="1">
        <f t="array" ref="CA141">IF(ISNUMBER(K141),IF(SUM(BT141:BZ146)/LARGE(_xlfn._xlws.FILTER(Ruimtestaat!BD:BD,Ruimtestaat!BC:BC=BR141),1)&lt;K141,K141*LARGE(_xlfn._xlws.FILTER(Ruimtestaat!BD:BD,Ruimtestaat!BC:BC=BR141),1)-SUM(BT141:BZ146),0),"")</f>
        <v/>
      </c>
      <c r="CB141" s="551">
        <f>SUM(BT141:CA146)</f>
        <v>0</v>
      </c>
    </row>
    <row r="142" spans="1:80" ht="0.2" customHeight="1" x14ac:dyDescent="0.2">
      <c r="A142" s="172">
        <f ca="1">Ruimtestaat!A142</f>
        <v>2</v>
      </c>
      <c r="B142" s="557"/>
      <c r="C142" s="11">
        <v>204</v>
      </c>
      <c r="D142" s="309"/>
      <c r="E142" s="310"/>
      <c r="F142" s="310"/>
      <c r="G142" s="310"/>
      <c r="H142" s="310"/>
      <c r="I142" s="312"/>
      <c r="J142" s="312"/>
      <c r="K142" s="560"/>
      <c r="L142" s="552"/>
      <c r="M142" s="172" t="b">
        <f>IF(_xlfn.XLOOKUP(BB142,Tabel2[Locatiecode],Tabel2[Type locatie],"",0)="vaccin",TRUE,FALSE)</f>
        <v>1</v>
      </c>
      <c r="BB142" s="272" t="str">
        <f>IF(Ruimtestaat!BC142="","",Ruimtestaat!BC142)</f>
        <v>MDM-AGP</v>
      </c>
      <c r="BC142" s="273">
        <f t="shared" si="4"/>
        <v>204</v>
      </c>
      <c r="BD142" s="274">
        <f>Ruimtestaat!D142*$BC142</f>
        <v>0</v>
      </c>
      <c r="BE142" s="275">
        <f>Ruimtestaat!E142*$BC142</f>
        <v>0</v>
      </c>
      <c r="BF142" s="275">
        <f>Ruimtestaat!F142*$BC142</f>
        <v>0</v>
      </c>
      <c r="BG142" s="275">
        <f>Ruimtestaat!G142*$BC142</f>
        <v>0</v>
      </c>
      <c r="BH142" s="275">
        <f>Ruimtestaat!H142*$BC142</f>
        <v>0</v>
      </c>
      <c r="BI142" s="276">
        <f>Ruimtestaat!I142*$BC142</f>
        <v>0</v>
      </c>
      <c r="BJ142" s="277">
        <f>Ruimtestaat!J142*$BC142</f>
        <v>0</v>
      </c>
      <c r="BK142" s="552"/>
      <c r="BR142" s="272" t="str">
        <f>IF(Ruimtestaat!BC142="","",Ruimtestaat!BC142)</f>
        <v>MDM-AGP</v>
      </c>
      <c r="BS142" s="273">
        <f t="shared" si="5"/>
        <v>204</v>
      </c>
      <c r="BT142" s="274" t="str">
        <f>IF(BD142&gt;0,IF(ISNUMBER(Schoonmaaknormen!D142),Schoonmaaknormen!BD142/Schoonmaaknormen!D142,0),"")</f>
        <v/>
      </c>
      <c r="BU142" s="275" t="str">
        <f>IF(BE142&gt;0,IF(ISNUMBER(Schoonmaaknormen!E142),Schoonmaaknormen!BE142/Schoonmaaknormen!E142,0),"")</f>
        <v/>
      </c>
      <c r="BV142" s="275" t="str">
        <f>IF(BF142&gt;0,IF(ISNUMBER(Schoonmaaknormen!F142),Schoonmaaknormen!BF142/Schoonmaaknormen!F142,0),"")</f>
        <v/>
      </c>
      <c r="BW142" s="275" t="str">
        <f>IF(BG142&gt;0,IF(ISNUMBER(Schoonmaaknormen!G142),Schoonmaaknormen!BG142/Schoonmaaknormen!G142,0),"")</f>
        <v/>
      </c>
      <c r="BX142" s="275" t="str">
        <f>IF(BH142&gt;0,IF(ISNUMBER(Schoonmaaknormen!H142),Schoonmaaknormen!BH142/Schoonmaaknormen!H142,0),"")</f>
        <v/>
      </c>
      <c r="BY142" s="275" t="str">
        <f>IF(BI142&gt;0,IF(ISNUMBER(Schoonmaaknormen!I142),Schoonmaaknormen!BI142/Schoonmaaknormen!I142,0),"")</f>
        <v/>
      </c>
      <c r="BZ142" s="275" t="str">
        <f>IF(BJ142&gt;0,IF(ISNUMBER(Schoonmaaknormen!J142),Schoonmaaknormen!BJ142/Schoonmaaknormen!J142,0),"")</f>
        <v/>
      </c>
      <c r="CA142" s="548"/>
      <c r="CB142" s="552"/>
    </row>
    <row r="143" spans="1:80" ht="0.2" customHeight="1" x14ac:dyDescent="0.2">
      <c r="A143" s="172">
        <f ca="1">Ruimtestaat!A143</f>
        <v>2</v>
      </c>
      <c r="B143" s="557"/>
      <c r="C143" s="11">
        <v>156</v>
      </c>
      <c r="D143" s="309"/>
      <c r="E143" s="310"/>
      <c r="F143" s="310"/>
      <c r="G143" s="310"/>
      <c r="H143" s="310"/>
      <c r="I143" s="312"/>
      <c r="J143" s="312"/>
      <c r="K143" s="560"/>
      <c r="L143" s="552"/>
      <c r="M143" s="172" t="b">
        <f>IF(_xlfn.XLOOKUP(BB143,Tabel2[Locatiecode],Tabel2[Type locatie],"",0)="vaccin",TRUE,FALSE)</f>
        <v>1</v>
      </c>
      <c r="BB143" s="272" t="str">
        <f>IF(Ruimtestaat!BC143="","",Ruimtestaat!BC143)</f>
        <v>MDM-AGP</v>
      </c>
      <c r="BC143" s="273">
        <f t="shared" si="4"/>
        <v>156</v>
      </c>
      <c r="BD143" s="274">
        <f>Ruimtestaat!D143*$BC143</f>
        <v>0</v>
      </c>
      <c r="BE143" s="275">
        <f>Ruimtestaat!E143*$BC143</f>
        <v>0</v>
      </c>
      <c r="BF143" s="275">
        <f>Ruimtestaat!F143*$BC143</f>
        <v>0</v>
      </c>
      <c r="BG143" s="275">
        <f>Ruimtestaat!G143*$BC143</f>
        <v>0</v>
      </c>
      <c r="BH143" s="275">
        <f>Ruimtestaat!H143*$BC143</f>
        <v>0</v>
      </c>
      <c r="BI143" s="276">
        <f>Ruimtestaat!I143*$BC143</f>
        <v>0</v>
      </c>
      <c r="BJ143" s="277">
        <f>Ruimtestaat!J143*$BC143</f>
        <v>0</v>
      </c>
      <c r="BK143" s="552"/>
      <c r="BR143" s="272" t="str">
        <f>IF(Ruimtestaat!BC143="","",Ruimtestaat!BC143)</f>
        <v>MDM-AGP</v>
      </c>
      <c r="BS143" s="273">
        <f t="shared" si="5"/>
        <v>156</v>
      </c>
      <c r="BT143" s="274" t="str">
        <f>IF(BD143&gt;0,IF(ISNUMBER(Schoonmaaknormen!D143),Schoonmaaknormen!BD143/Schoonmaaknormen!D143,0),"")</f>
        <v/>
      </c>
      <c r="BU143" s="275" t="str">
        <f>IF(BE143&gt;0,IF(ISNUMBER(Schoonmaaknormen!E143),Schoonmaaknormen!BE143/Schoonmaaknormen!E143,0),"")</f>
        <v/>
      </c>
      <c r="BV143" s="275" t="str">
        <f>IF(BF143&gt;0,IF(ISNUMBER(Schoonmaaknormen!F143),Schoonmaaknormen!BF143/Schoonmaaknormen!F143,0),"")</f>
        <v/>
      </c>
      <c r="BW143" s="275" t="str">
        <f>IF(BG143&gt;0,IF(ISNUMBER(Schoonmaaknormen!G143),Schoonmaaknormen!BG143/Schoonmaaknormen!G143,0),"")</f>
        <v/>
      </c>
      <c r="BX143" s="275" t="str">
        <f>IF(BH143&gt;0,IF(ISNUMBER(Schoonmaaknormen!H143),Schoonmaaknormen!BH143/Schoonmaaknormen!H143,0),"")</f>
        <v/>
      </c>
      <c r="BY143" s="275" t="str">
        <f>IF(BI143&gt;0,IF(ISNUMBER(Schoonmaaknormen!I143),Schoonmaaknormen!BI143/Schoonmaaknormen!I143,0),"")</f>
        <v/>
      </c>
      <c r="BZ143" s="275" t="str">
        <f>IF(BJ143&gt;0,IF(ISNUMBER(Schoonmaaknormen!J143),Schoonmaaknormen!BJ143/Schoonmaaknormen!J143,0),"")</f>
        <v/>
      </c>
      <c r="CA143" s="548"/>
      <c r="CB143" s="552"/>
    </row>
    <row r="144" spans="1:80" ht="0.2" customHeight="1" x14ac:dyDescent="0.2">
      <c r="A144" s="172">
        <f ca="1">Ruimtestaat!A144</f>
        <v>2</v>
      </c>
      <c r="B144" s="557"/>
      <c r="C144" s="11">
        <v>104</v>
      </c>
      <c r="D144" s="309"/>
      <c r="E144" s="310"/>
      <c r="F144" s="310"/>
      <c r="G144" s="310"/>
      <c r="H144" s="310"/>
      <c r="I144" s="312"/>
      <c r="J144" s="312"/>
      <c r="K144" s="561"/>
      <c r="L144" s="553"/>
      <c r="M144" s="172" t="b">
        <f>IF(_xlfn.XLOOKUP(BB144,Tabel2[Locatiecode],Tabel2[Type locatie],"",0)="vaccin",TRUE,FALSE)</f>
        <v>1</v>
      </c>
      <c r="BB144" s="278" t="str">
        <f>IF(Ruimtestaat!BC144="","",Ruimtestaat!BC144)</f>
        <v>MDM-AGP</v>
      </c>
      <c r="BC144" s="279">
        <f t="shared" si="4"/>
        <v>104</v>
      </c>
      <c r="BD144" s="280">
        <f>Ruimtestaat!D144*$BC144</f>
        <v>0</v>
      </c>
      <c r="BE144" s="281">
        <f>Ruimtestaat!E144*$BC144</f>
        <v>0</v>
      </c>
      <c r="BF144" s="281">
        <f>Ruimtestaat!F144*$BC144</f>
        <v>0</v>
      </c>
      <c r="BG144" s="281">
        <f>Ruimtestaat!G144*$BC144</f>
        <v>0</v>
      </c>
      <c r="BH144" s="281">
        <f>Ruimtestaat!H144*$BC144</f>
        <v>0</v>
      </c>
      <c r="BI144" s="282">
        <f>Ruimtestaat!I144*$BC144</f>
        <v>0</v>
      </c>
      <c r="BJ144" s="283">
        <f>Ruimtestaat!J144*$BC144</f>
        <v>0</v>
      </c>
      <c r="BK144" s="553"/>
      <c r="BR144" s="278" t="str">
        <f>IF(Ruimtestaat!BC144="","",Ruimtestaat!BC144)</f>
        <v>MDM-AGP</v>
      </c>
      <c r="BS144" s="313">
        <f t="shared" si="5"/>
        <v>104</v>
      </c>
      <c r="BT144" s="280" t="str">
        <f>IF(BD144&gt;0,IF(ISNUMBER(Schoonmaaknormen!D144),Schoonmaaknormen!BD144/Schoonmaaknormen!D144,0),"")</f>
        <v/>
      </c>
      <c r="BU144" s="314" t="str">
        <f>IF(BE144&gt;0,IF(ISNUMBER(Schoonmaaknormen!E144),Schoonmaaknormen!BE144/Schoonmaaknormen!E144,0),"")</f>
        <v/>
      </c>
      <c r="BV144" s="314" t="str">
        <f>IF(BF144&gt;0,IF(ISNUMBER(Schoonmaaknormen!F144),Schoonmaaknormen!BF144/Schoonmaaknormen!F144,0),"")</f>
        <v/>
      </c>
      <c r="BW144" s="314" t="str">
        <f>IF(BG144&gt;0,IF(ISNUMBER(Schoonmaaknormen!G144),Schoonmaaknormen!BG144/Schoonmaaknormen!G144,0),"")</f>
        <v/>
      </c>
      <c r="BX144" s="314" t="str">
        <f>IF(BH144&gt;0,IF(ISNUMBER(Schoonmaaknormen!H144),Schoonmaaknormen!BH144/Schoonmaaknormen!H144,0),"")</f>
        <v/>
      </c>
      <c r="BY144" s="314" t="str">
        <f>IF(BI144&gt;0,IF(ISNUMBER(Schoonmaaknormen!I144),Schoonmaaknormen!BI144/Schoonmaaknormen!I144,0),"")</f>
        <v/>
      </c>
      <c r="BZ144" s="314" t="str">
        <f>IF(BJ144&gt;0,IF(ISNUMBER(Schoonmaaknormen!J144),Schoonmaaknormen!BJ144/Schoonmaaknormen!J144,0),"")</f>
        <v/>
      </c>
      <c r="CA144" s="549"/>
      <c r="CB144" s="553"/>
    </row>
    <row r="145" spans="1:80" ht="0.2" customHeight="1" x14ac:dyDescent="0.2">
      <c r="A145" s="172">
        <f ca="1">Ruimtestaat!A145</f>
        <v>2</v>
      </c>
      <c r="B145" s="557"/>
      <c r="C145" s="11">
        <v>52</v>
      </c>
      <c r="D145" s="309"/>
      <c r="E145" s="310"/>
      <c r="F145" s="310"/>
      <c r="G145" s="310"/>
      <c r="H145" s="310"/>
      <c r="I145" s="312"/>
      <c r="J145" s="312"/>
      <c r="K145" s="561"/>
      <c r="L145" s="553"/>
      <c r="M145" s="172" t="b">
        <f>IF(_xlfn.XLOOKUP(BB145,Tabel2[Locatiecode],Tabel2[Type locatie],"",0)="vaccin",TRUE,FALSE)</f>
        <v>1</v>
      </c>
      <c r="BB145" s="284" t="str">
        <f>IF(Ruimtestaat!BC145="","",Ruimtestaat!BC145)</f>
        <v>MDM-AGP</v>
      </c>
      <c r="BC145" s="285">
        <f t="shared" si="4"/>
        <v>52</v>
      </c>
      <c r="BD145" s="286">
        <f>Ruimtestaat!D145*$BC145</f>
        <v>0</v>
      </c>
      <c r="BE145" s="287">
        <f>Ruimtestaat!E145*$BC145</f>
        <v>0</v>
      </c>
      <c r="BF145" s="287">
        <f>Ruimtestaat!F145*$BC145</f>
        <v>0</v>
      </c>
      <c r="BG145" s="287">
        <f>Ruimtestaat!G145*$BC145</f>
        <v>0</v>
      </c>
      <c r="BH145" s="287">
        <f>Ruimtestaat!H145*$BC145</f>
        <v>0</v>
      </c>
      <c r="BI145" s="288">
        <f>Ruimtestaat!I145*$BC145</f>
        <v>0</v>
      </c>
      <c r="BJ145" s="289">
        <f>Ruimtestaat!J145*$BC145</f>
        <v>0</v>
      </c>
      <c r="BK145" s="553"/>
      <c r="BR145" s="284" t="str">
        <f>IF(Ruimtestaat!BC145="","",Ruimtestaat!BC145)</f>
        <v>MDM-AGP</v>
      </c>
      <c r="BS145" s="285">
        <f t="shared" si="5"/>
        <v>52</v>
      </c>
      <c r="BT145" s="286" t="str">
        <f>IF(BD145&gt;0,IF(ISNUMBER(Schoonmaaknormen!D145),Schoonmaaknormen!BD145/Schoonmaaknormen!D145,0),"")</f>
        <v/>
      </c>
      <c r="BU145" s="287" t="str">
        <f>IF(BE145&gt;0,IF(ISNUMBER(Schoonmaaknormen!E145),Schoonmaaknormen!BE145/Schoonmaaknormen!E145,0),"")</f>
        <v/>
      </c>
      <c r="BV145" s="287" t="str">
        <f>IF(BF145&gt;0,IF(ISNUMBER(Schoonmaaknormen!F145),Schoonmaaknormen!BF145/Schoonmaaknormen!F145,0),"")</f>
        <v/>
      </c>
      <c r="BW145" s="287" t="str">
        <f>IF(BG145&gt;0,IF(ISNUMBER(Schoonmaaknormen!G145),Schoonmaaknormen!BG145/Schoonmaaknormen!G145,0),"")</f>
        <v/>
      </c>
      <c r="BX145" s="287" t="str">
        <f>IF(BH145&gt;0,IF(ISNUMBER(Schoonmaaknormen!H145),Schoonmaaknormen!BH145/Schoonmaaknormen!H145,0),"")</f>
        <v/>
      </c>
      <c r="BY145" s="287" t="str">
        <f>IF(BI145&gt;0,IF(ISNUMBER(Schoonmaaknormen!I145),Schoonmaaknormen!BI145/Schoonmaaknormen!I145,0),"")</f>
        <v/>
      </c>
      <c r="BZ145" s="287" t="str">
        <f>IF(BJ145&gt;0,IF(ISNUMBER(Schoonmaaknormen!J145),Schoonmaaknormen!BJ145/Schoonmaaknormen!J145,0),"")</f>
        <v/>
      </c>
      <c r="CA145" s="549"/>
      <c r="CB145" s="553"/>
    </row>
    <row r="146" spans="1:80" ht="0.2" customHeight="1" x14ac:dyDescent="0.2">
      <c r="A146" s="172">
        <f ca="1">Ruimtestaat!A146</f>
        <v>2</v>
      </c>
      <c r="B146" s="558"/>
      <c r="C146" s="290">
        <v>4</v>
      </c>
      <c r="D146" s="186"/>
      <c r="E146" s="187"/>
      <c r="F146" s="187"/>
      <c r="G146" s="187"/>
      <c r="H146" s="187"/>
      <c r="I146" s="189"/>
      <c r="J146" s="189"/>
      <c r="K146" s="562"/>
      <c r="L146" s="554"/>
      <c r="M146" s="172" t="b">
        <f>IF(_xlfn.XLOOKUP(BB146,Tabel2[Locatiecode],Tabel2[Type locatie],"",0)="vaccin",TRUE,FALSE)</f>
        <v>1</v>
      </c>
      <c r="BB146" s="291" t="str">
        <f>IF(Ruimtestaat!BC146="","",Ruimtestaat!BC146)</f>
        <v>MDM-AGP</v>
      </c>
      <c r="BC146" s="292">
        <f t="shared" si="4"/>
        <v>4</v>
      </c>
      <c r="BD146" s="293">
        <f>Ruimtestaat!D146*$BC146</f>
        <v>0</v>
      </c>
      <c r="BE146" s="294">
        <f>Ruimtestaat!E146*$BC146</f>
        <v>0</v>
      </c>
      <c r="BF146" s="294">
        <f>Ruimtestaat!F146*$BC146</f>
        <v>0</v>
      </c>
      <c r="BG146" s="294">
        <f>Ruimtestaat!G146*$BC146</f>
        <v>0</v>
      </c>
      <c r="BH146" s="294">
        <f>Ruimtestaat!H146*$BC146</f>
        <v>0</v>
      </c>
      <c r="BI146" s="295">
        <f>Ruimtestaat!I146*$BC146</f>
        <v>0</v>
      </c>
      <c r="BJ146" s="296">
        <f>Ruimtestaat!J146*$BC146</f>
        <v>0</v>
      </c>
      <c r="BK146" s="554"/>
      <c r="BR146" s="291" t="str">
        <f>IF(Ruimtestaat!BC146="","",Ruimtestaat!BC146)</f>
        <v>MDM-AGP</v>
      </c>
      <c r="BS146" s="292">
        <f t="shared" si="5"/>
        <v>4</v>
      </c>
      <c r="BT146" s="293" t="str">
        <f>IF(BD146&gt;0,IF(ISNUMBER(Schoonmaaknormen!D146),Schoonmaaknormen!BD146/Schoonmaaknormen!D146,0),"")</f>
        <v/>
      </c>
      <c r="BU146" s="294" t="str">
        <f>IF(BE146&gt;0,IF(ISNUMBER(Schoonmaaknormen!E146),Schoonmaaknormen!BE146/Schoonmaaknormen!E146,0),"")</f>
        <v/>
      </c>
      <c r="BV146" s="294" t="str">
        <f>IF(BF146&gt;0,IF(ISNUMBER(Schoonmaaknormen!F146),Schoonmaaknormen!BF146/Schoonmaaknormen!F146,0),"")</f>
        <v/>
      </c>
      <c r="BW146" s="294" t="str">
        <f>IF(BG146&gt;0,IF(ISNUMBER(Schoonmaaknormen!G146),Schoonmaaknormen!BG146/Schoonmaaknormen!G146,0),"")</f>
        <v/>
      </c>
      <c r="BX146" s="294" t="str">
        <f>IF(BH146&gt;0,IF(ISNUMBER(Schoonmaaknormen!H146),Schoonmaaknormen!BH146/Schoonmaaknormen!H146,0),"")</f>
        <v/>
      </c>
      <c r="BY146" s="294" t="str">
        <f>IF(BI146&gt;0,IF(ISNUMBER(Schoonmaaknormen!I146),Schoonmaaknormen!BI146/Schoonmaaknormen!I146,0),"")</f>
        <v/>
      </c>
      <c r="BZ146" s="294" t="str">
        <f>IF(BJ146&gt;0,IF(ISNUMBER(Schoonmaaknormen!J146),Schoonmaaknormen!BJ146/Schoonmaaknormen!J146,0),"")</f>
        <v/>
      </c>
      <c r="CA146" s="555"/>
      <c r="CB146" s="554"/>
    </row>
    <row r="147" spans="1:80" ht="15" customHeight="1" x14ac:dyDescent="0.2">
      <c r="A147" s="172">
        <f ca="1">Ruimtestaat!A147</f>
        <v>1</v>
      </c>
      <c r="B147" s="556" t="str">
        <f>BB147</f>
        <v>MDM-POS</v>
      </c>
      <c r="C147" s="298">
        <v>255</v>
      </c>
      <c r="D147" s="299"/>
      <c r="E147" s="300"/>
      <c r="F147" s="300"/>
      <c r="G147" s="300"/>
      <c r="H147" s="300"/>
      <c r="I147" s="302"/>
      <c r="J147" s="302"/>
      <c r="K147" s="559"/>
      <c r="L147" s="551" t="str" cm="1">
        <f t="array" aca="1" ref="L147" ca="1">_xlfn.IFS(A147=2,"",COUNTBLANK(D147:J152)=COUNTIF(Ruimtestaat!D147:J152,"&lt;=0"),BK147/CB147,TRUE,"")</f>
        <v/>
      </c>
      <c r="M147" s="172" t="b">
        <f>IF(_xlfn.XLOOKUP(BB147,Tabel2[Locatiecode],Tabel2[Type locatie],"",0)="vaccin",TRUE,FALSE)</f>
        <v>0</v>
      </c>
      <c r="BB147" s="303" t="str">
        <f>IF(Ruimtestaat!BC147="","",Ruimtestaat!BC147)</f>
        <v>MDM-POS</v>
      </c>
      <c r="BC147" s="304">
        <f t="shared" si="4"/>
        <v>255</v>
      </c>
      <c r="BD147" s="305">
        <f ca="1">Ruimtestaat!D147*$BC147</f>
        <v>10455</v>
      </c>
      <c r="BE147" s="306">
        <f ca="1">Ruimtestaat!E147*$BC147</f>
        <v>7395</v>
      </c>
      <c r="BF147" s="306">
        <f ca="1">Ruimtestaat!F147*$BC147</f>
        <v>28815</v>
      </c>
      <c r="BG147" s="306">
        <f ca="1">Ruimtestaat!G147*$BC147</f>
        <v>0</v>
      </c>
      <c r="BH147" s="306">
        <f ca="1">Ruimtestaat!H147*$BC147</f>
        <v>1785</v>
      </c>
      <c r="BI147" s="307">
        <f ca="1">Ruimtestaat!I147*$BC147</f>
        <v>9435</v>
      </c>
      <c r="BJ147" s="308">
        <f ca="1">Ruimtestaat!J147*$BC147</f>
        <v>0</v>
      </c>
      <c r="BK147" s="552">
        <f ca="1">SUM(BD147:BJ152)</f>
        <v>57885</v>
      </c>
      <c r="BR147" s="303" t="str">
        <f>IF(Ruimtestaat!BC147="","",Ruimtestaat!BC147)</f>
        <v>MDM-POS</v>
      </c>
      <c r="BS147" s="304">
        <f t="shared" si="5"/>
        <v>255</v>
      </c>
      <c r="BT147" s="305">
        <f ca="1">IF(BD147&gt;0,IF(ISNUMBER(Schoonmaaknormen!D147),Schoonmaaknormen!BD147/Schoonmaaknormen!D147,0),"")</f>
        <v>0</v>
      </c>
      <c r="BU147" s="306">
        <f ca="1">IF(BE147&gt;0,IF(ISNUMBER(Schoonmaaknormen!E147),Schoonmaaknormen!BE147/Schoonmaaknormen!E147,0),"")</f>
        <v>0</v>
      </c>
      <c r="BV147" s="306">
        <f ca="1">IF(BF147&gt;0,IF(ISNUMBER(Schoonmaaknormen!F147),Schoonmaaknormen!BF147/Schoonmaaknormen!F147,0),"")</f>
        <v>0</v>
      </c>
      <c r="BW147" s="306" t="str">
        <f ca="1">IF(BG147&gt;0,IF(ISNUMBER(Schoonmaaknormen!G147),Schoonmaaknormen!BG147/Schoonmaaknormen!G147,0),"")</f>
        <v/>
      </c>
      <c r="BX147" s="306">
        <f ca="1">IF(BH147&gt;0,IF(ISNUMBER(Schoonmaaknormen!H147),Schoonmaaknormen!BH147/Schoonmaaknormen!H147,0),"")</f>
        <v>0</v>
      </c>
      <c r="BY147" s="306">
        <f ca="1">IF(BI147&gt;0,IF(ISNUMBER(Schoonmaaknormen!I147),Schoonmaaknormen!BI147/Schoonmaaknormen!I147,0),"")</f>
        <v>0</v>
      </c>
      <c r="BZ147" s="306" t="str">
        <f ca="1">IF(BJ147&gt;0,IF(ISNUMBER(Schoonmaaknormen!J147),Schoonmaaknormen!BJ147/Schoonmaaknormen!J147,0),"")</f>
        <v/>
      </c>
      <c r="CA147" s="547" t="str" cm="1">
        <f t="array" ref="CA147">IF(ISNUMBER(K147),IF(SUM(BT147:BZ152)/LARGE(_xlfn._xlws.FILTER(Ruimtestaat!BD:BD,Ruimtestaat!BC:BC=BR147),1)&lt;K147,K147*LARGE(_xlfn._xlws.FILTER(Ruimtestaat!BD:BD,Ruimtestaat!BC:BC=BR147),1)-SUM(BT147:BZ152),0),"")</f>
        <v/>
      </c>
      <c r="CB147" s="551">
        <f ca="1">SUM(BT147:CA152)</f>
        <v>0</v>
      </c>
    </row>
    <row r="148" spans="1:80" ht="0.2" customHeight="1" x14ac:dyDescent="0.2">
      <c r="A148" s="172">
        <f ca="1">Ruimtestaat!A148</f>
        <v>2</v>
      </c>
      <c r="B148" s="557"/>
      <c r="C148" s="11">
        <v>204</v>
      </c>
      <c r="D148" s="309"/>
      <c r="E148" s="310"/>
      <c r="F148" s="310"/>
      <c r="G148" s="310"/>
      <c r="H148" s="310"/>
      <c r="I148" s="312"/>
      <c r="J148" s="312"/>
      <c r="K148" s="560"/>
      <c r="L148" s="552"/>
      <c r="M148" s="172" t="b">
        <f>IF(_xlfn.XLOOKUP(BB148,Tabel2[Locatiecode],Tabel2[Type locatie],"",0)="vaccin",TRUE,FALSE)</f>
        <v>0</v>
      </c>
      <c r="BB148" s="272" t="str">
        <f>IF(Ruimtestaat!BC148="","",Ruimtestaat!BC148)</f>
        <v>MDM-POS</v>
      </c>
      <c r="BC148" s="273">
        <f t="shared" si="4"/>
        <v>204</v>
      </c>
      <c r="BD148" s="274">
        <f ca="1">Ruimtestaat!D148*$BC148</f>
        <v>0</v>
      </c>
      <c r="BE148" s="275">
        <f ca="1">Ruimtestaat!E148*$BC148</f>
        <v>0</v>
      </c>
      <c r="BF148" s="275">
        <f ca="1">Ruimtestaat!F148*$BC148</f>
        <v>0</v>
      </c>
      <c r="BG148" s="275">
        <f ca="1">Ruimtestaat!G148*$BC148</f>
        <v>0</v>
      </c>
      <c r="BH148" s="275">
        <f ca="1">Ruimtestaat!H148*$BC148</f>
        <v>0</v>
      </c>
      <c r="BI148" s="276">
        <f ca="1">Ruimtestaat!I148*$BC148</f>
        <v>0</v>
      </c>
      <c r="BJ148" s="277">
        <f ca="1">Ruimtestaat!J148*$BC148</f>
        <v>0</v>
      </c>
      <c r="BK148" s="552"/>
      <c r="BR148" s="272" t="str">
        <f>IF(Ruimtestaat!BC148="","",Ruimtestaat!BC148)</f>
        <v>MDM-POS</v>
      </c>
      <c r="BS148" s="273">
        <f t="shared" si="5"/>
        <v>204</v>
      </c>
      <c r="BT148" s="274" t="str">
        <f ca="1">IF(BD148&gt;0,IF(ISNUMBER(Schoonmaaknormen!D148),Schoonmaaknormen!BD148/Schoonmaaknormen!D148,0),"")</f>
        <v/>
      </c>
      <c r="BU148" s="275" t="str">
        <f ca="1">IF(BE148&gt;0,IF(ISNUMBER(Schoonmaaknormen!E148),Schoonmaaknormen!BE148/Schoonmaaknormen!E148,0),"")</f>
        <v/>
      </c>
      <c r="BV148" s="275" t="str">
        <f ca="1">IF(BF148&gt;0,IF(ISNUMBER(Schoonmaaknormen!F148),Schoonmaaknormen!BF148/Schoonmaaknormen!F148,0),"")</f>
        <v/>
      </c>
      <c r="BW148" s="275" t="str">
        <f ca="1">IF(BG148&gt;0,IF(ISNUMBER(Schoonmaaknormen!G148),Schoonmaaknormen!BG148/Schoonmaaknormen!G148,0),"")</f>
        <v/>
      </c>
      <c r="BX148" s="275" t="str">
        <f ca="1">IF(BH148&gt;0,IF(ISNUMBER(Schoonmaaknormen!H148),Schoonmaaknormen!BH148/Schoonmaaknormen!H148,0),"")</f>
        <v/>
      </c>
      <c r="BY148" s="275" t="str">
        <f ca="1">IF(BI148&gt;0,IF(ISNUMBER(Schoonmaaknormen!I148),Schoonmaaknormen!BI148/Schoonmaaknormen!I148,0),"")</f>
        <v/>
      </c>
      <c r="BZ148" s="275" t="str">
        <f ca="1">IF(BJ148&gt;0,IF(ISNUMBER(Schoonmaaknormen!J148),Schoonmaaknormen!BJ148/Schoonmaaknormen!J148,0),"")</f>
        <v/>
      </c>
      <c r="CA148" s="548"/>
      <c r="CB148" s="552"/>
    </row>
    <row r="149" spans="1:80" ht="0.2" customHeight="1" x14ac:dyDescent="0.2">
      <c r="A149" s="172">
        <f ca="1">Ruimtestaat!A149</f>
        <v>2</v>
      </c>
      <c r="B149" s="557"/>
      <c r="C149" s="11">
        <v>156</v>
      </c>
      <c r="D149" s="309"/>
      <c r="E149" s="310"/>
      <c r="F149" s="310"/>
      <c r="G149" s="310"/>
      <c r="H149" s="310"/>
      <c r="I149" s="312"/>
      <c r="J149" s="312"/>
      <c r="K149" s="560"/>
      <c r="L149" s="552"/>
      <c r="M149" s="172" t="b">
        <f>IF(_xlfn.XLOOKUP(BB149,Tabel2[Locatiecode],Tabel2[Type locatie],"",0)="vaccin",TRUE,FALSE)</f>
        <v>0</v>
      </c>
      <c r="BB149" s="272" t="str">
        <f>IF(Ruimtestaat!BC149="","",Ruimtestaat!BC149)</f>
        <v>MDM-POS</v>
      </c>
      <c r="BC149" s="273">
        <f t="shared" si="4"/>
        <v>156</v>
      </c>
      <c r="BD149" s="274">
        <f ca="1">Ruimtestaat!D149*$BC149</f>
        <v>0</v>
      </c>
      <c r="BE149" s="275">
        <f ca="1">Ruimtestaat!E149*$BC149</f>
        <v>0</v>
      </c>
      <c r="BF149" s="275">
        <f ca="1">Ruimtestaat!F149*$BC149</f>
        <v>0</v>
      </c>
      <c r="BG149" s="275">
        <f ca="1">Ruimtestaat!G149*$BC149</f>
        <v>0</v>
      </c>
      <c r="BH149" s="275">
        <f ca="1">Ruimtestaat!H149*$BC149</f>
        <v>0</v>
      </c>
      <c r="BI149" s="276">
        <f ca="1">Ruimtestaat!I149*$BC149</f>
        <v>0</v>
      </c>
      <c r="BJ149" s="277">
        <f ca="1">Ruimtestaat!J149*$BC149</f>
        <v>0</v>
      </c>
      <c r="BK149" s="552"/>
      <c r="BR149" s="272" t="str">
        <f>IF(Ruimtestaat!BC149="","",Ruimtestaat!BC149)</f>
        <v>MDM-POS</v>
      </c>
      <c r="BS149" s="273">
        <f t="shared" si="5"/>
        <v>156</v>
      </c>
      <c r="BT149" s="274" t="str">
        <f ca="1">IF(BD149&gt;0,IF(ISNUMBER(Schoonmaaknormen!D149),Schoonmaaknormen!BD149/Schoonmaaknormen!D149,0),"")</f>
        <v/>
      </c>
      <c r="BU149" s="275" t="str">
        <f ca="1">IF(BE149&gt;0,IF(ISNUMBER(Schoonmaaknormen!E149),Schoonmaaknormen!BE149/Schoonmaaknormen!E149,0),"")</f>
        <v/>
      </c>
      <c r="BV149" s="275" t="str">
        <f ca="1">IF(BF149&gt;0,IF(ISNUMBER(Schoonmaaknormen!F149),Schoonmaaknormen!BF149/Schoonmaaknormen!F149,0),"")</f>
        <v/>
      </c>
      <c r="BW149" s="275" t="str">
        <f ca="1">IF(BG149&gt;0,IF(ISNUMBER(Schoonmaaknormen!G149),Schoonmaaknormen!BG149/Schoonmaaknormen!G149,0),"")</f>
        <v/>
      </c>
      <c r="BX149" s="275" t="str">
        <f ca="1">IF(BH149&gt;0,IF(ISNUMBER(Schoonmaaknormen!H149),Schoonmaaknormen!BH149/Schoonmaaknormen!H149,0),"")</f>
        <v/>
      </c>
      <c r="BY149" s="275" t="str">
        <f ca="1">IF(BI149&gt;0,IF(ISNUMBER(Schoonmaaknormen!I149),Schoonmaaknormen!BI149/Schoonmaaknormen!I149,0),"")</f>
        <v/>
      </c>
      <c r="BZ149" s="275" t="str">
        <f ca="1">IF(BJ149&gt;0,IF(ISNUMBER(Schoonmaaknormen!J149),Schoonmaaknormen!BJ149/Schoonmaaknormen!J149,0),"")</f>
        <v/>
      </c>
      <c r="CA149" s="548"/>
      <c r="CB149" s="552"/>
    </row>
    <row r="150" spans="1:80" ht="0.2" customHeight="1" x14ac:dyDescent="0.2">
      <c r="A150" s="172">
        <f ca="1">Ruimtestaat!A150</f>
        <v>2</v>
      </c>
      <c r="B150" s="557"/>
      <c r="C150" s="11">
        <v>104</v>
      </c>
      <c r="D150" s="309"/>
      <c r="E150" s="310"/>
      <c r="F150" s="310"/>
      <c r="G150" s="310"/>
      <c r="H150" s="310"/>
      <c r="I150" s="312"/>
      <c r="J150" s="312"/>
      <c r="K150" s="561"/>
      <c r="L150" s="553"/>
      <c r="M150" s="172" t="b">
        <f>IF(_xlfn.XLOOKUP(BB150,Tabel2[Locatiecode],Tabel2[Type locatie],"",0)="vaccin",TRUE,FALSE)</f>
        <v>0</v>
      </c>
      <c r="BB150" s="278" t="str">
        <f>IF(Ruimtestaat!BC150="","",Ruimtestaat!BC150)</f>
        <v>MDM-POS</v>
      </c>
      <c r="BC150" s="279">
        <f t="shared" si="4"/>
        <v>104</v>
      </c>
      <c r="BD150" s="280">
        <f ca="1">Ruimtestaat!D150*$BC150</f>
        <v>0</v>
      </c>
      <c r="BE150" s="281">
        <f ca="1">Ruimtestaat!E150*$BC150</f>
        <v>0</v>
      </c>
      <c r="BF150" s="281">
        <f ca="1">Ruimtestaat!F150*$BC150</f>
        <v>0</v>
      </c>
      <c r="BG150" s="281">
        <f ca="1">Ruimtestaat!G150*$BC150</f>
        <v>0</v>
      </c>
      <c r="BH150" s="281">
        <f ca="1">Ruimtestaat!H150*$BC150</f>
        <v>0</v>
      </c>
      <c r="BI150" s="282">
        <f ca="1">Ruimtestaat!I150*$BC150</f>
        <v>0</v>
      </c>
      <c r="BJ150" s="283">
        <f ca="1">Ruimtestaat!J150*$BC150</f>
        <v>0</v>
      </c>
      <c r="BK150" s="553"/>
      <c r="BR150" s="278" t="str">
        <f>IF(Ruimtestaat!BC150="","",Ruimtestaat!BC150)</f>
        <v>MDM-POS</v>
      </c>
      <c r="BS150" s="313">
        <f t="shared" si="5"/>
        <v>104</v>
      </c>
      <c r="BT150" s="280" t="str">
        <f ca="1">IF(BD150&gt;0,IF(ISNUMBER(Schoonmaaknormen!D150),Schoonmaaknormen!BD150/Schoonmaaknormen!D150,0),"")</f>
        <v/>
      </c>
      <c r="BU150" s="314" t="str">
        <f ca="1">IF(BE150&gt;0,IF(ISNUMBER(Schoonmaaknormen!E150),Schoonmaaknormen!BE150/Schoonmaaknormen!E150,0),"")</f>
        <v/>
      </c>
      <c r="BV150" s="314" t="str">
        <f ca="1">IF(BF150&gt;0,IF(ISNUMBER(Schoonmaaknormen!F150),Schoonmaaknormen!BF150/Schoonmaaknormen!F150,0),"")</f>
        <v/>
      </c>
      <c r="BW150" s="314" t="str">
        <f ca="1">IF(BG150&gt;0,IF(ISNUMBER(Schoonmaaknormen!G150),Schoonmaaknormen!BG150/Schoonmaaknormen!G150,0),"")</f>
        <v/>
      </c>
      <c r="BX150" s="314" t="str">
        <f ca="1">IF(BH150&gt;0,IF(ISNUMBER(Schoonmaaknormen!H150),Schoonmaaknormen!BH150/Schoonmaaknormen!H150,0),"")</f>
        <v/>
      </c>
      <c r="BY150" s="314" t="str">
        <f ca="1">IF(BI150&gt;0,IF(ISNUMBER(Schoonmaaknormen!I150),Schoonmaaknormen!BI150/Schoonmaaknormen!I150,0),"")</f>
        <v/>
      </c>
      <c r="BZ150" s="314" t="str">
        <f ca="1">IF(BJ150&gt;0,IF(ISNUMBER(Schoonmaaknormen!J150),Schoonmaaknormen!BJ150/Schoonmaaknormen!J150,0),"")</f>
        <v/>
      </c>
      <c r="CA150" s="549"/>
      <c r="CB150" s="553"/>
    </row>
    <row r="151" spans="1:80" ht="0.2" customHeight="1" x14ac:dyDescent="0.2">
      <c r="A151" s="172">
        <f ca="1">Ruimtestaat!A151</f>
        <v>2</v>
      </c>
      <c r="B151" s="557"/>
      <c r="C151" s="11">
        <v>52</v>
      </c>
      <c r="D151" s="309"/>
      <c r="E151" s="310"/>
      <c r="F151" s="310"/>
      <c r="G151" s="310"/>
      <c r="H151" s="310"/>
      <c r="I151" s="312"/>
      <c r="J151" s="312"/>
      <c r="K151" s="561"/>
      <c r="L151" s="553"/>
      <c r="M151" s="172" t="b">
        <f>IF(_xlfn.XLOOKUP(BB151,Tabel2[Locatiecode],Tabel2[Type locatie],"",0)="vaccin",TRUE,FALSE)</f>
        <v>0</v>
      </c>
      <c r="BB151" s="284" t="str">
        <f>IF(Ruimtestaat!BC151="","",Ruimtestaat!BC151)</f>
        <v>MDM-POS</v>
      </c>
      <c r="BC151" s="285">
        <f t="shared" si="4"/>
        <v>52</v>
      </c>
      <c r="BD151" s="286">
        <f ca="1">Ruimtestaat!D151*$BC151</f>
        <v>0</v>
      </c>
      <c r="BE151" s="287">
        <f ca="1">Ruimtestaat!E151*$BC151</f>
        <v>0</v>
      </c>
      <c r="BF151" s="287">
        <f ca="1">Ruimtestaat!F151*$BC151</f>
        <v>0</v>
      </c>
      <c r="BG151" s="287">
        <f ca="1">Ruimtestaat!G151*$BC151</f>
        <v>0</v>
      </c>
      <c r="BH151" s="287">
        <f ca="1">Ruimtestaat!H151*$BC151</f>
        <v>0</v>
      </c>
      <c r="BI151" s="288">
        <f ca="1">Ruimtestaat!I151*$BC151</f>
        <v>0</v>
      </c>
      <c r="BJ151" s="289">
        <f ca="1">Ruimtestaat!J151*$BC151</f>
        <v>0</v>
      </c>
      <c r="BK151" s="553"/>
      <c r="BR151" s="284" t="str">
        <f>IF(Ruimtestaat!BC151="","",Ruimtestaat!BC151)</f>
        <v>MDM-POS</v>
      </c>
      <c r="BS151" s="285">
        <f t="shared" si="5"/>
        <v>52</v>
      </c>
      <c r="BT151" s="286" t="str">
        <f ca="1">IF(BD151&gt;0,IF(ISNUMBER(Schoonmaaknormen!D151),Schoonmaaknormen!BD151/Schoonmaaknormen!D151,0),"")</f>
        <v/>
      </c>
      <c r="BU151" s="287" t="str">
        <f ca="1">IF(BE151&gt;0,IF(ISNUMBER(Schoonmaaknormen!E151),Schoonmaaknormen!BE151/Schoonmaaknormen!E151,0),"")</f>
        <v/>
      </c>
      <c r="BV151" s="287" t="str">
        <f ca="1">IF(BF151&gt;0,IF(ISNUMBER(Schoonmaaknormen!F151),Schoonmaaknormen!BF151/Schoonmaaknormen!F151,0),"")</f>
        <v/>
      </c>
      <c r="BW151" s="287" t="str">
        <f ca="1">IF(BG151&gt;0,IF(ISNUMBER(Schoonmaaknormen!G151),Schoonmaaknormen!BG151/Schoonmaaknormen!G151,0),"")</f>
        <v/>
      </c>
      <c r="BX151" s="287" t="str">
        <f ca="1">IF(BH151&gt;0,IF(ISNUMBER(Schoonmaaknormen!H151),Schoonmaaknormen!BH151/Schoonmaaknormen!H151,0),"")</f>
        <v/>
      </c>
      <c r="BY151" s="287" t="str">
        <f ca="1">IF(BI151&gt;0,IF(ISNUMBER(Schoonmaaknormen!I151),Schoonmaaknormen!BI151/Schoonmaaknormen!I151,0),"")</f>
        <v/>
      </c>
      <c r="BZ151" s="287" t="str">
        <f ca="1">IF(BJ151&gt;0,IF(ISNUMBER(Schoonmaaknormen!J151),Schoonmaaknormen!BJ151/Schoonmaaknormen!J151,0),"")</f>
        <v/>
      </c>
      <c r="CA151" s="549"/>
      <c r="CB151" s="553"/>
    </row>
    <row r="152" spans="1:80" ht="0.2" customHeight="1" x14ac:dyDescent="0.2">
      <c r="A152" s="172">
        <f ca="1">Ruimtestaat!A152</f>
        <v>2</v>
      </c>
      <c r="B152" s="558"/>
      <c r="C152" s="290">
        <v>4</v>
      </c>
      <c r="D152" s="186"/>
      <c r="E152" s="187"/>
      <c r="F152" s="187"/>
      <c r="G152" s="187"/>
      <c r="H152" s="187"/>
      <c r="I152" s="189"/>
      <c r="J152" s="189"/>
      <c r="K152" s="562"/>
      <c r="L152" s="554"/>
      <c r="M152" s="172" t="b">
        <f>IF(_xlfn.XLOOKUP(BB152,Tabel2[Locatiecode],Tabel2[Type locatie],"",0)="vaccin",TRUE,FALSE)</f>
        <v>0</v>
      </c>
      <c r="BB152" s="291" t="str">
        <f>IF(Ruimtestaat!BC152="","",Ruimtestaat!BC152)</f>
        <v>MDM-POS</v>
      </c>
      <c r="BC152" s="292">
        <f t="shared" si="4"/>
        <v>4</v>
      </c>
      <c r="BD152" s="293">
        <f ca="1">Ruimtestaat!D152*$BC152</f>
        <v>0</v>
      </c>
      <c r="BE152" s="294">
        <f ca="1">Ruimtestaat!E152*$BC152</f>
        <v>0</v>
      </c>
      <c r="BF152" s="294">
        <f ca="1">Ruimtestaat!F152*$BC152</f>
        <v>0</v>
      </c>
      <c r="BG152" s="294">
        <f ca="1">Ruimtestaat!G152*$BC152</f>
        <v>0</v>
      </c>
      <c r="BH152" s="294">
        <f ca="1">Ruimtestaat!H152*$BC152</f>
        <v>0</v>
      </c>
      <c r="BI152" s="295">
        <f ca="1">Ruimtestaat!I152*$BC152</f>
        <v>0</v>
      </c>
      <c r="BJ152" s="296">
        <f ca="1">Ruimtestaat!J152*$BC152</f>
        <v>0</v>
      </c>
      <c r="BK152" s="554"/>
      <c r="BR152" s="291" t="str">
        <f>IF(Ruimtestaat!BC152="","",Ruimtestaat!BC152)</f>
        <v>MDM-POS</v>
      </c>
      <c r="BS152" s="292">
        <f t="shared" si="5"/>
        <v>4</v>
      </c>
      <c r="BT152" s="293" t="str">
        <f ca="1">IF(BD152&gt;0,IF(ISNUMBER(Schoonmaaknormen!D152),Schoonmaaknormen!BD152/Schoonmaaknormen!D152,0),"")</f>
        <v/>
      </c>
      <c r="BU152" s="294" t="str">
        <f ca="1">IF(BE152&gt;0,IF(ISNUMBER(Schoonmaaknormen!E152),Schoonmaaknormen!BE152/Schoonmaaknormen!E152,0),"")</f>
        <v/>
      </c>
      <c r="BV152" s="294" t="str">
        <f ca="1">IF(BF152&gt;0,IF(ISNUMBER(Schoonmaaknormen!F152),Schoonmaaknormen!BF152/Schoonmaaknormen!F152,0),"")</f>
        <v/>
      </c>
      <c r="BW152" s="294" t="str">
        <f ca="1">IF(BG152&gt;0,IF(ISNUMBER(Schoonmaaknormen!G152),Schoonmaaknormen!BG152/Schoonmaaknormen!G152,0),"")</f>
        <v/>
      </c>
      <c r="BX152" s="294" t="str">
        <f ca="1">IF(BH152&gt;0,IF(ISNUMBER(Schoonmaaknormen!H152),Schoonmaaknormen!BH152/Schoonmaaknormen!H152,0),"")</f>
        <v/>
      </c>
      <c r="BY152" s="294" t="str">
        <f ca="1">IF(BI152&gt;0,IF(ISNUMBER(Schoonmaaknormen!I152),Schoonmaaknormen!BI152/Schoonmaaknormen!I152,0),"")</f>
        <v/>
      </c>
      <c r="BZ152" s="294" t="str">
        <f ca="1">IF(BJ152&gt;0,IF(ISNUMBER(Schoonmaaknormen!J152),Schoonmaaknormen!BJ152/Schoonmaaknormen!J152,0),"")</f>
        <v/>
      </c>
      <c r="CA152" s="555"/>
      <c r="CB152" s="554"/>
    </row>
    <row r="153" spans="1:80" ht="15" customHeight="1" x14ac:dyDescent="0.2">
      <c r="A153" s="172">
        <f ca="1">Ruimtestaat!A153</f>
        <v>1</v>
      </c>
      <c r="B153" s="556" t="str">
        <f>BB153</f>
        <v>NND-DMT</v>
      </c>
      <c r="C153" s="298">
        <v>255</v>
      </c>
      <c r="D153" s="299"/>
      <c r="E153" s="300"/>
      <c r="F153" s="300"/>
      <c r="G153" s="300"/>
      <c r="H153" s="300"/>
      <c r="I153" s="302"/>
      <c r="J153" s="302"/>
      <c r="K153" s="559"/>
      <c r="L153" s="551" t="str" cm="1">
        <f t="array" aca="1" ref="L153" ca="1">_xlfn.IFS(A153=2,"",COUNTBLANK(D153:J158)=COUNTIF(Ruimtestaat!D153:J158,"&lt;=0"),BK153/CB153,TRUE,"")</f>
        <v/>
      </c>
      <c r="M153" s="172" t="b">
        <f>IF(_xlfn.XLOOKUP(BB153,Tabel2[Locatiecode],Tabel2[Type locatie],"",0)="vaccin",TRUE,FALSE)</f>
        <v>0</v>
      </c>
      <c r="BB153" s="303" t="str">
        <f>IF(Ruimtestaat!BC153="","",Ruimtestaat!BC153)</f>
        <v>NND-DMT</v>
      </c>
      <c r="BC153" s="304">
        <f t="shared" si="4"/>
        <v>255</v>
      </c>
      <c r="BD153" s="305">
        <f ca="1">Ruimtestaat!D153*$BC153</f>
        <v>13260</v>
      </c>
      <c r="BE153" s="306">
        <f ca="1">Ruimtestaat!E153*$BC153</f>
        <v>8262</v>
      </c>
      <c r="BF153" s="306">
        <f ca="1">Ruimtestaat!F153*$BC153</f>
        <v>11220</v>
      </c>
      <c r="BG153" s="306">
        <f ca="1">Ruimtestaat!G153*$BC153</f>
        <v>1326</v>
      </c>
      <c r="BH153" s="306">
        <f ca="1">Ruimtestaat!H153*$BC153</f>
        <v>586.5</v>
      </c>
      <c r="BI153" s="307">
        <f ca="1">Ruimtestaat!I153*$BC153</f>
        <v>0</v>
      </c>
      <c r="BJ153" s="308">
        <f ca="1">Ruimtestaat!J153*$BC153</f>
        <v>0</v>
      </c>
      <c r="BK153" s="552">
        <f ca="1">SUM(BD153:BJ158)</f>
        <v>34654.5</v>
      </c>
      <c r="BR153" s="303" t="str">
        <f>IF(Ruimtestaat!BC153="","",Ruimtestaat!BC153)</f>
        <v>NND-DMT</v>
      </c>
      <c r="BS153" s="304">
        <f t="shared" si="5"/>
        <v>255</v>
      </c>
      <c r="BT153" s="305">
        <f ca="1">IF(BD153&gt;0,IF(ISNUMBER(Schoonmaaknormen!D153),Schoonmaaknormen!BD153/Schoonmaaknormen!D153,0),"")</f>
        <v>0</v>
      </c>
      <c r="BU153" s="306">
        <f ca="1">IF(BE153&gt;0,IF(ISNUMBER(Schoonmaaknormen!E153),Schoonmaaknormen!BE153/Schoonmaaknormen!E153,0),"")</f>
        <v>0</v>
      </c>
      <c r="BV153" s="306">
        <f ca="1">IF(BF153&gt;0,IF(ISNUMBER(Schoonmaaknormen!F153),Schoonmaaknormen!BF153/Schoonmaaknormen!F153,0),"")</f>
        <v>0</v>
      </c>
      <c r="BW153" s="306">
        <f ca="1">IF(BG153&gt;0,IF(ISNUMBER(Schoonmaaknormen!G153),Schoonmaaknormen!BG153/Schoonmaaknormen!G153,0),"")</f>
        <v>0</v>
      </c>
      <c r="BX153" s="306">
        <f ca="1">IF(BH153&gt;0,IF(ISNUMBER(Schoonmaaknormen!H153),Schoonmaaknormen!BH153/Schoonmaaknormen!H153,0),"")</f>
        <v>0</v>
      </c>
      <c r="BY153" s="306" t="str">
        <f ca="1">IF(BI153&gt;0,IF(ISNUMBER(Schoonmaaknormen!I153),Schoonmaaknormen!BI153/Schoonmaaknormen!I153,0),"")</f>
        <v/>
      </c>
      <c r="BZ153" s="306" t="str">
        <f ca="1">IF(BJ153&gt;0,IF(ISNUMBER(Schoonmaaknormen!J153),Schoonmaaknormen!BJ153/Schoonmaaknormen!J153,0),"")</f>
        <v/>
      </c>
      <c r="CA153" s="547" t="str" cm="1">
        <f t="array" ref="CA153">IF(ISNUMBER(K153),IF(SUM(BT153:BZ158)/LARGE(_xlfn._xlws.FILTER(Ruimtestaat!BD:BD,Ruimtestaat!BC:BC=BR153),1)&lt;K153,K153*LARGE(_xlfn._xlws.FILTER(Ruimtestaat!BD:BD,Ruimtestaat!BC:BC=BR153),1)-SUM(BT153:BZ158),0),"")</f>
        <v/>
      </c>
      <c r="CB153" s="551">
        <f ca="1">SUM(BT153:CA158)</f>
        <v>0</v>
      </c>
    </row>
    <row r="154" spans="1:80" ht="0.2" customHeight="1" x14ac:dyDescent="0.2">
      <c r="A154" s="172">
        <f ca="1">Ruimtestaat!A154</f>
        <v>0</v>
      </c>
      <c r="B154" s="557"/>
      <c r="C154" s="11">
        <v>204</v>
      </c>
      <c r="D154" s="309"/>
      <c r="E154" s="310"/>
      <c r="F154" s="310"/>
      <c r="G154" s="310"/>
      <c r="H154" s="310"/>
      <c r="I154" s="312"/>
      <c r="J154" s="312"/>
      <c r="K154" s="560"/>
      <c r="L154" s="552"/>
      <c r="M154" s="172" t="b">
        <f>IF(_xlfn.XLOOKUP(BB154,Tabel2[Locatiecode],Tabel2[Type locatie],"",0)="vaccin",TRUE,FALSE)</f>
        <v>0</v>
      </c>
      <c r="BB154" s="272" t="str">
        <f>IF(Ruimtestaat!BC154="","",Ruimtestaat!BC154)</f>
        <v>NND-DMT</v>
      </c>
      <c r="BC154" s="273">
        <f t="shared" si="4"/>
        <v>204</v>
      </c>
      <c r="BD154" s="274">
        <f ca="1">Ruimtestaat!D154*$BC154</f>
        <v>0</v>
      </c>
      <c r="BE154" s="275">
        <f ca="1">Ruimtestaat!E154*$BC154</f>
        <v>0</v>
      </c>
      <c r="BF154" s="275">
        <f ca="1">Ruimtestaat!F154*$BC154</f>
        <v>0</v>
      </c>
      <c r="BG154" s="275">
        <f ca="1">Ruimtestaat!G154*$BC154</f>
        <v>0</v>
      </c>
      <c r="BH154" s="275">
        <f ca="1">Ruimtestaat!H154*$BC154</f>
        <v>0</v>
      </c>
      <c r="BI154" s="276">
        <f ca="1">Ruimtestaat!I154*$BC154</f>
        <v>0</v>
      </c>
      <c r="BJ154" s="277">
        <f ca="1">Ruimtestaat!J154*$BC154</f>
        <v>0</v>
      </c>
      <c r="BK154" s="552"/>
      <c r="BR154" s="272" t="str">
        <f>IF(Ruimtestaat!BC154="","",Ruimtestaat!BC154)</f>
        <v>NND-DMT</v>
      </c>
      <c r="BS154" s="273">
        <f t="shared" si="5"/>
        <v>204</v>
      </c>
      <c r="BT154" s="274" t="str">
        <f ca="1">IF(BD154&gt;0,IF(ISNUMBER(Schoonmaaknormen!D154),Schoonmaaknormen!BD154/Schoonmaaknormen!D154,0),"")</f>
        <v/>
      </c>
      <c r="BU154" s="275" t="str">
        <f ca="1">IF(BE154&gt;0,IF(ISNUMBER(Schoonmaaknormen!E154),Schoonmaaknormen!BE154/Schoonmaaknormen!E154,0),"")</f>
        <v/>
      </c>
      <c r="BV154" s="275" t="str">
        <f ca="1">IF(BF154&gt;0,IF(ISNUMBER(Schoonmaaknormen!F154),Schoonmaaknormen!BF154/Schoonmaaknormen!F154,0),"")</f>
        <v/>
      </c>
      <c r="BW154" s="275" t="str">
        <f ca="1">IF(BG154&gt;0,IF(ISNUMBER(Schoonmaaknormen!G154),Schoonmaaknormen!BG154/Schoonmaaknormen!G154,0),"")</f>
        <v/>
      </c>
      <c r="BX154" s="275" t="str">
        <f ca="1">IF(BH154&gt;0,IF(ISNUMBER(Schoonmaaknormen!H154),Schoonmaaknormen!BH154/Schoonmaaknormen!H154,0),"")</f>
        <v/>
      </c>
      <c r="BY154" s="275" t="str">
        <f ca="1">IF(BI154&gt;0,IF(ISNUMBER(Schoonmaaknormen!I154),Schoonmaaknormen!BI154/Schoonmaaknormen!I154,0),"")</f>
        <v/>
      </c>
      <c r="BZ154" s="275" t="str">
        <f ca="1">IF(BJ154&gt;0,IF(ISNUMBER(Schoonmaaknormen!J154),Schoonmaaknormen!BJ154/Schoonmaaknormen!J154,0),"")</f>
        <v/>
      </c>
      <c r="CA154" s="548"/>
      <c r="CB154" s="552"/>
    </row>
    <row r="155" spans="1:80" ht="0.2" customHeight="1" x14ac:dyDescent="0.2">
      <c r="A155" s="172">
        <f ca="1">Ruimtestaat!A155</f>
        <v>0</v>
      </c>
      <c r="B155" s="557"/>
      <c r="C155" s="11">
        <v>156</v>
      </c>
      <c r="D155" s="309"/>
      <c r="E155" s="310"/>
      <c r="F155" s="310"/>
      <c r="G155" s="310"/>
      <c r="H155" s="310"/>
      <c r="I155" s="312"/>
      <c r="J155" s="312"/>
      <c r="K155" s="560"/>
      <c r="L155" s="552"/>
      <c r="M155" s="172" t="b">
        <f>IF(_xlfn.XLOOKUP(BB155,Tabel2[Locatiecode],Tabel2[Type locatie],"",0)="vaccin",TRUE,FALSE)</f>
        <v>0</v>
      </c>
      <c r="BB155" s="272" t="str">
        <f>IF(Ruimtestaat!BC155="","",Ruimtestaat!BC155)</f>
        <v>NND-DMT</v>
      </c>
      <c r="BC155" s="273">
        <f t="shared" si="4"/>
        <v>156</v>
      </c>
      <c r="BD155" s="274">
        <f ca="1">Ruimtestaat!D155*$BC155</f>
        <v>0</v>
      </c>
      <c r="BE155" s="275">
        <f ca="1">Ruimtestaat!E155*$BC155</f>
        <v>0</v>
      </c>
      <c r="BF155" s="275">
        <f ca="1">Ruimtestaat!F155*$BC155</f>
        <v>0</v>
      </c>
      <c r="BG155" s="275">
        <f ca="1">Ruimtestaat!G155*$BC155</f>
        <v>0</v>
      </c>
      <c r="BH155" s="275">
        <f ca="1">Ruimtestaat!H155*$BC155</f>
        <v>0</v>
      </c>
      <c r="BI155" s="276">
        <f ca="1">Ruimtestaat!I155*$BC155</f>
        <v>0</v>
      </c>
      <c r="BJ155" s="277">
        <f ca="1">Ruimtestaat!J155*$BC155</f>
        <v>0</v>
      </c>
      <c r="BK155" s="552"/>
      <c r="BR155" s="272" t="str">
        <f>IF(Ruimtestaat!BC155="","",Ruimtestaat!BC155)</f>
        <v>NND-DMT</v>
      </c>
      <c r="BS155" s="273">
        <f t="shared" si="5"/>
        <v>156</v>
      </c>
      <c r="BT155" s="274" t="str">
        <f ca="1">IF(BD155&gt;0,IF(ISNUMBER(Schoonmaaknormen!D155),Schoonmaaknormen!BD155/Schoonmaaknormen!D155,0),"")</f>
        <v/>
      </c>
      <c r="BU155" s="275" t="str">
        <f ca="1">IF(BE155&gt;0,IF(ISNUMBER(Schoonmaaknormen!E155),Schoonmaaknormen!BE155/Schoonmaaknormen!E155,0),"")</f>
        <v/>
      </c>
      <c r="BV155" s="275" t="str">
        <f ca="1">IF(BF155&gt;0,IF(ISNUMBER(Schoonmaaknormen!F155),Schoonmaaknormen!BF155/Schoonmaaknormen!F155,0),"")</f>
        <v/>
      </c>
      <c r="BW155" s="275" t="str">
        <f ca="1">IF(BG155&gt;0,IF(ISNUMBER(Schoonmaaknormen!G155),Schoonmaaknormen!BG155/Schoonmaaknormen!G155,0),"")</f>
        <v/>
      </c>
      <c r="BX155" s="275" t="str">
        <f ca="1">IF(BH155&gt;0,IF(ISNUMBER(Schoonmaaknormen!H155),Schoonmaaknormen!BH155/Schoonmaaknormen!H155,0),"")</f>
        <v/>
      </c>
      <c r="BY155" s="275" t="str">
        <f ca="1">IF(BI155&gt;0,IF(ISNUMBER(Schoonmaaknormen!I155),Schoonmaaknormen!BI155/Schoonmaaknormen!I155,0),"")</f>
        <v/>
      </c>
      <c r="BZ155" s="275" t="str">
        <f ca="1">IF(BJ155&gt;0,IF(ISNUMBER(Schoonmaaknormen!J155),Schoonmaaknormen!BJ155/Schoonmaaknormen!J155,0),"")</f>
        <v/>
      </c>
      <c r="CA155" s="548"/>
      <c r="CB155" s="552"/>
    </row>
    <row r="156" spans="1:80" ht="0.2" customHeight="1" x14ac:dyDescent="0.2">
      <c r="A156" s="172">
        <f ca="1">Ruimtestaat!A156</f>
        <v>0</v>
      </c>
      <c r="B156" s="557"/>
      <c r="C156" s="11">
        <v>104</v>
      </c>
      <c r="D156" s="309"/>
      <c r="E156" s="310"/>
      <c r="F156" s="310"/>
      <c r="G156" s="310"/>
      <c r="H156" s="310"/>
      <c r="I156" s="312"/>
      <c r="J156" s="312"/>
      <c r="K156" s="561"/>
      <c r="L156" s="553"/>
      <c r="M156" s="172" t="b">
        <f>IF(_xlfn.XLOOKUP(BB156,Tabel2[Locatiecode],Tabel2[Type locatie],"",0)="vaccin",TRUE,FALSE)</f>
        <v>0</v>
      </c>
      <c r="BB156" s="278" t="str">
        <f>IF(Ruimtestaat!BC156="","",Ruimtestaat!BC156)</f>
        <v>NND-DMT</v>
      </c>
      <c r="BC156" s="279">
        <f t="shared" si="4"/>
        <v>104</v>
      </c>
      <c r="BD156" s="280">
        <f ca="1">Ruimtestaat!D156*$BC156</f>
        <v>0</v>
      </c>
      <c r="BE156" s="281">
        <f ca="1">Ruimtestaat!E156*$BC156</f>
        <v>0</v>
      </c>
      <c r="BF156" s="281">
        <f ca="1">Ruimtestaat!F156*$BC156</f>
        <v>0</v>
      </c>
      <c r="BG156" s="281">
        <f ca="1">Ruimtestaat!G156*$BC156</f>
        <v>0</v>
      </c>
      <c r="BH156" s="281">
        <f ca="1">Ruimtestaat!H156*$BC156</f>
        <v>0</v>
      </c>
      <c r="BI156" s="282">
        <f ca="1">Ruimtestaat!I156*$BC156</f>
        <v>0</v>
      </c>
      <c r="BJ156" s="283">
        <f ca="1">Ruimtestaat!J156*$BC156</f>
        <v>0</v>
      </c>
      <c r="BK156" s="553"/>
      <c r="BR156" s="278" t="str">
        <f>IF(Ruimtestaat!BC156="","",Ruimtestaat!BC156)</f>
        <v>NND-DMT</v>
      </c>
      <c r="BS156" s="313">
        <f t="shared" si="5"/>
        <v>104</v>
      </c>
      <c r="BT156" s="280" t="str">
        <f ca="1">IF(BD156&gt;0,IF(ISNUMBER(Schoonmaaknormen!D156),Schoonmaaknormen!BD156/Schoonmaaknormen!D156,0),"")</f>
        <v/>
      </c>
      <c r="BU156" s="314" t="str">
        <f ca="1">IF(BE156&gt;0,IF(ISNUMBER(Schoonmaaknormen!E156),Schoonmaaknormen!BE156/Schoonmaaknormen!E156,0),"")</f>
        <v/>
      </c>
      <c r="BV156" s="314" t="str">
        <f ca="1">IF(BF156&gt;0,IF(ISNUMBER(Schoonmaaknormen!F156),Schoonmaaknormen!BF156/Schoonmaaknormen!F156,0),"")</f>
        <v/>
      </c>
      <c r="BW156" s="314" t="str">
        <f ca="1">IF(BG156&gt;0,IF(ISNUMBER(Schoonmaaknormen!G156),Schoonmaaknormen!BG156/Schoonmaaknormen!G156,0),"")</f>
        <v/>
      </c>
      <c r="BX156" s="314" t="str">
        <f ca="1">IF(BH156&gt;0,IF(ISNUMBER(Schoonmaaknormen!H156),Schoonmaaknormen!BH156/Schoonmaaknormen!H156,0),"")</f>
        <v/>
      </c>
      <c r="BY156" s="314" t="str">
        <f ca="1">IF(BI156&gt;0,IF(ISNUMBER(Schoonmaaknormen!I156),Schoonmaaknormen!BI156/Schoonmaaknormen!I156,0),"")</f>
        <v/>
      </c>
      <c r="BZ156" s="314" t="str">
        <f ca="1">IF(BJ156&gt;0,IF(ISNUMBER(Schoonmaaknormen!J156),Schoonmaaknormen!BJ156/Schoonmaaknormen!J156,0),"")</f>
        <v/>
      </c>
      <c r="CA156" s="549"/>
      <c r="CB156" s="553"/>
    </row>
    <row r="157" spans="1:80" ht="0.2" customHeight="1" x14ac:dyDescent="0.2">
      <c r="A157" s="172">
        <f ca="1">Ruimtestaat!A157</f>
        <v>0</v>
      </c>
      <c r="B157" s="557"/>
      <c r="C157" s="11">
        <v>52</v>
      </c>
      <c r="D157" s="309"/>
      <c r="E157" s="310"/>
      <c r="F157" s="310"/>
      <c r="G157" s="310"/>
      <c r="H157" s="310"/>
      <c r="I157" s="312"/>
      <c r="J157" s="312"/>
      <c r="K157" s="561"/>
      <c r="L157" s="553"/>
      <c r="M157" s="172" t="b">
        <f>IF(_xlfn.XLOOKUP(BB157,Tabel2[Locatiecode],Tabel2[Type locatie],"",0)="vaccin",TRUE,FALSE)</f>
        <v>0</v>
      </c>
      <c r="BB157" s="284" t="str">
        <f>IF(Ruimtestaat!BC157="","",Ruimtestaat!BC157)</f>
        <v>NND-DMT</v>
      </c>
      <c r="BC157" s="285">
        <f t="shared" si="4"/>
        <v>52</v>
      </c>
      <c r="BD157" s="286">
        <f ca="1">Ruimtestaat!D157*$BC157</f>
        <v>0</v>
      </c>
      <c r="BE157" s="287">
        <f ca="1">Ruimtestaat!E157*$BC157</f>
        <v>0</v>
      </c>
      <c r="BF157" s="287">
        <f ca="1">Ruimtestaat!F157*$BC157</f>
        <v>0</v>
      </c>
      <c r="BG157" s="287">
        <f ca="1">Ruimtestaat!G157*$BC157</f>
        <v>0</v>
      </c>
      <c r="BH157" s="287">
        <f ca="1">Ruimtestaat!H157*$BC157</f>
        <v>0</v>
      </c>
      <c r="BI157" s="288">
        <f ca="1">Ruimtestaat!I157*$BC157</f>
        <v>0</v>
      </c>
      <c r="BJ157" s="289">
        <f ca="1">Ruimtestaat!J157*$BC157</f>
        <v>0</v>
      </c>
      <c r="BK157" s="553"/>
      <c r="BR157" s="284" t="str">
        <f>IF(Ruimtestaat!BC157="","",Ruimtestaat!BC157)</f>
        <v>NND-DMT</v>
      </c>
      <c r="BS157" s="285">
        <f t="shared" si="5"/>
        <v>52</v>
      </c>
      <c r="BT157" s="286" t="str">
        <f ca="1">IF(BD157&gt;0,IF(ISNUMBER(Schoonmaaknormen!D157),Schoonmaaknormen!BD157/Schoonmaaknormen!D157,0),"")</f>
        <v/>
      </c>
      <c r="BU157" s="287" t="str">
        <f ca="1">IF(BE157&gt;0,IF(ISNUMBER(Schoonmaaknormen!E157),Schoonmaaknormen!BE157/Schoonmaaknormen!E157,0),"")</f>
        <v/>
      </c>
      <c r="BV157" s="287" t="str">
        <f ca="1">IF(BF157&gt;0,IF(ISNUMBER(Schoonmaaknormen!F157),Schoonmaaknormen!BF157/Schoonmaaknormen!F157,0),"")</f>
        <v/>
      </c>
      <c r="BW157" s="287" t="str">
        <f ca="1">IF(BG157&gt;0,IF(ISNUMBER(Schoonmaaknormen!G157),Schoonmaaknormen!BG157/Schoonmaaknormen!G157,0),"")</f>
        <v/>
      </c>
      <c r="BX157" s="287" t="str">
        <f ca="1">IF(BH157&gt;0,IF(ISNUMBER(Schoonmaaknormen!H157),Schoonmaaknormen!BH157/Schoonmaaknormen!H157,0),"")</f>
        <v/>
      </c>
      <c r="BY157" s="287" t="str">
        <f ca="1">IF(BI157&gt;0,IF(ISNUMBER(Schoonmaaknormen!I157),Schoonmaaknormen!BI157/Schoonmaaknormen!I157,0),"")</f>
        <v/>
      </c>
      <c r="BZ157" s="287" t="str">
        <f ca="1">IF(BJ157&gt;0,IF(ISNUMBER(Schoonmaaknormen!J157),Schoonmaaknormen!BJ157/Schoonmaaknormen!J157,0),"")</f>
        <v/>
      </c>
      <c r="CA157" s="549"/>
      <c r="CB157" s="553"/>
    </row>
    <row r="158" spans="1:80" ht="0.2" customHeight="1" x14ac:dyDescent="0.2">
      <c r="A158" s="172">
        <f ca="1">Ruimtestaat!A158</f>
        <v>2</v>
      </c>
      <c r="B158" s="558"/>
      <c r="C158" s="290">
        <v>4</v>
      </c>
      <c r="D158" s="186"/>
      <c r="E158" s="187"/>
      <c r="F158" s="187"/>
      <c r="G158" s="187"/>
      <c r="H158" s="187"/>
      <c r="I158" s="189"/>
      <c r="J158" s="189"/>
      <c r="K158" s="562"/>
      <c r="L158" s="554"/>
      <c r="M158" s="172" t="b">
        <f>IF(_xlfn.XLOOKUP(BB158,Tabel2[Locatiecode],Tabel2[Type locatie],"",0)="vaccin",TRUE,FALSE)</f>
        <v>0</v>
      </c>
      <c r="BB158" s="291" t="str">
        <f>IF(Ruimtestaat!BC158="","",Ruimtestaat!BC158)</f>
        <v>NND-DMT</v>
      </c>
      <c r="BC158" s="292">
        <f t="shared" si="4"/>
        <v>4</v>
      </c>
      <c r="BD158" s="293">
        <f ca="1">Ruimtestaat!D158*$BC158</f>
        <v>0</v>
      </c>
      <c r="BE158" s="294">
        <f ca="1">Ruimtestaat!E158*$BC158</f>
        <v>0</v>
      </c>
      <c r="BF158" s="294">
        <f ca="1">Ruimtestaat!F158*$BC158</f>
        <v>0</v>
      </c>
      <c r="BG158" s="294">
        <f ca="1">Ruimtestaat!G158*$BC158</f>
        <v>0</v>
      </c>
      <c r="BH158" s="294">
        <f ca="1">Ruimtestaat!H158*$BC158</f>
        <v>0</v>
      </c>
      <c r="BI158" s="295">
        <f ca="1">Ruimtestaat!I158*$BC158</f>
        <v>0</v>
      </c>
      <c r="BJ158" s="296">
        <f ca="1">Ruimtestaat!J158*$BC158</f>
        <v>0</v>
      </c>
      <c r="BK158" s="554"/>
      <c r="BR158" s="291" t="str">
        <f>IF(Ruimtestaat!BC158="","",Ruimtestaat!BC158)</f>
        <v>NND-DMT</v>
      </c>
      <c r="BS158" s="292">
        <f t="shared" si="5"/>
        <v>4</v>
      </c>
      <c r="BT158" s="293" t="str">
        <f ca="1">IF(BD158&gt;0,IF(ISNUMBER(Schoonmaaknormen!D158),Schoonmaaknormen!BD158/Schoonmaaknormen!D158,0),"")</f>
        <v/>
      </c>
      <c r="BU158" s="294" t="str">
        <f ca="1">IF(BE158&gt;0,IF(ISNUMBER(Schoonmaaknormen!E158),Schoonmaaknormen!BE158/Schoonmaaknormen!E158,0),"")</f>
        <v/>
      </c>
      <c r="BV158" s="294" t="str">
        <f ca="1">IF(BF158&gt;0,IF(ISNUMBER(Schoonmaaknormen!F158),Schoonmaaknormen!BF158/Schoonmaaknormen!F158,0),"")</f>
        <v/>
      </c>
      <c r="BW158" s="294" t="str">
        <f ca="1">IF(BG158&gt;0,IF(ISNUMBER(Schoonmaaknormen!G158),Schoonmaaknormen!BG158/Schoonmaaknormen!G158,0),"")</f>
        <v/>
      </c>
      <c r="BX158" s="294" t="str">
        <f ca="1">IF(BH158&gt;0,IF(ISNUMBER(Schoonmaaknormen!H158),Schoonmaaknormen!BH158/Schoonmaaknormen!H158,0),"")</f>
        <v/>
      </c>
      <c r="BY158" s="294" t="str">
        <f ca="1">IF(BI158&gt;0,IF(ISNUMBER(Schoonmaaknormen!I158),Schoonmaaknormen!BI158/Schoonmaaknormen!I158,0),"")</f>
        <v/>
      </c>
      <c r="BZ158" s="294" t="str">
        <f ca="1">IF(BJ158&gt;0,IF(ISNUMBER(Schoonmaaknormen!J158),Schoonmaaknormen!BJ158/Schoonmaaknormen!J158,0),"")</f>
        <v/>
      </c>
      <c r="CA158" s="555"/>
      <c r="CB158" s="554"/>
    </row>
    <row r="159" spans="1:80" ht="15" customHeight="1" x14ac:dyDescent="0.2">
      <c r="A159" s="172">
        <f ca="1">Ruimtestaat!A159</f>
        <v>1</v>
      </c>
      <c r="B159" s="556" t="str">
        <f>BB159</f>
        <v>OBD-LMS</v>
      </c>
      <c r="C159" s="298">
        <v>255</v>
      </c>
      <c r="D159" s="299"/>
      <c r="E159" s="300"/>
      <c r="F159" s="300"/>
      <c r="G159" s="300"/>
      <c r="H159" s="300"/>
      <c r="I159" s="302"/>
      <c r="J159" s="302"/>
      <c r="K159" s="559"/>
      <c r="L159" s="551" t="str" cm="1">
        <f t="array" aca="1" ref="L159" ca="1">_xlfn.IFS(A159=2,"",COUNTBLANK(D159:J164)=COUNTIF(Ruimtestaat!D159:J164,"&lt;=0"),BK159/CB159,TRUE,"")</f>
        <v/>
      </c>
      <c r="M159" s="172" t="b">
        <f>IF(_xlfn.XLOOKUP(BB159,Tabel2[Locatiecode],Tabel2[Type locatie],"",0)="vaccin",TRUE,FALSE)</f>
        <v>0</v>
      </c>
      <c r="BB159" s="303" t="str">
        <f>IF(Ruimtestaat!BC159="","",Ruimtestaat!BC159)</f>
        <v>OBD-LMS</v>
      </c>
      <c r="BC159" s="304">
        <f t="shared" si="4"/>
        <v>255</v>
      </c>
      <c r="BD159" s="305">
        <f ca="1">Ruimtestaat!D159*$BC159</f>
        <v>10684.5</v>
      </c>
      <c r="BE159" s="306">
        <f ca="1">Ruimtestaat!E159*$BC159</f>
        <v>0</v>
      </c>
      <c r="BF159" s="306">
        <f ca="1">Ruimtestaat!F159*$BC159</f>
        <v>16524</v>
      </c>
      <c r="BG159" s="306">
        <f ca="1">Ruimtestaat!G159*$BC159</f>
        <v>0</v>
      </c>
      <c r="BH159" s="306">
        <f ca="1">Ruimtestaat!H159*$BC159</f>
        <v>1198.5</v>
      </c>
      <c r="BI159" s="307">
        <f ca="1">Ruimtestaat!I159*$BC159</f>
        <v>9741</v>
      </c>
      <c r="BJ159" s="308">
        <f ca="1">Ruimtestaat!J159*$BC159</f>
        <v>0</v>
      </c>
      <c r="BK159" s="552">
        <f ca="1">SUM(BD159:BJ164)</f>
        <v>38148</v>
      </c>
      <c r="BR159" s="303" t="str">
        <f>IF(Ruimtestaat!BC159="","",Ruimtestaat!BC159)</f>
        <v>OBD-LMS</v>
      </c>
      <c r="BS159" s="304">
        <f t="shared" si="5"/>
        <v>255</v>
      </c>
      <c r="BT159" s="305">
        <f ca="1">IF(BD159&gt;0,IF(ISNUMBER(Schoonmaaknormen!D159),Schoonmaaknormen!BD159/Schoonmaaknormen!D159,0),"")</f>
        <v>0</v>
      </c>
      <c r="BU159" s="306" t="str">
        <f ca="1">IF(BE159&gt;0,IF(ISNUMBER(Schoonmaaknormen!E159),Schoonmaaknormen!BE159/Schoonmaaknormen!E159,0),"")</f>
        <v/>
      </c>
      <c r="BV159" s="306">
        <f ca="1">IF(BF159&gt;0,IF(ISNUMBER(Schoonmaaknormen!F159),Schoonmaaknormen!BF159/Schoonmaaknormen!F159,0),"")</f>
        <v>0</v>
      </c>
      <c r="BW159" s="306" t="str">
        <f ca="1">IF(BG159&gt;0,IF(ISNUMBER(Schoonmaaknormen!G159),Schoonmaaknormen!BG159/Schoonmaaknormen!G159,0),"")</f>
        <v/>
      </c>
      <c r="BX159" s="306">
        <f ca="1">IF(BH159&gt;0,IF(ISNUMBER(Schoonmaaknormen!H159),Schoonmaaknormen!BH159/Schoonmaaknormen!H159,0),"")</f>
        <v>0</v>
      </c>
      <c r="BY159" s="306">
        <f ca="1">IF(BI159&gt;0,IF(ISNUMBER(Schoonmaaknormen!I159),Schoonmaaknormen!BI159/Schoonmaaknormen!I159,0),"")</f>
        <v>0</v>
      </c>
      <c r="BZ159" s="306" t="str">
        <f ca="1">IF(BJ159&gt;0,IF(ISNUMBER(Schoonmaaknormen!J159),Schoonmaaknormen!BJ159/Schoonmaaknormen!J159,0),"")</f>
        <v/>
      </c>
      <c r="CA159" s="547" t="str" cm="1">
        <f t="array" ref="CA159">IF(ISNUMBER(K159),IF(SUM(BT159:BZ164)/LARGE(_xlfn._xlws.FILTER(Ruimtestaat!BD:BD,Ruimtestaat!BC:BC=BR159),1)&lt;K159,K159*LARGE(_xlfn._xlws.FILTER(Ruimtestaat!BD:BD,Ruimtestaat!BC:BC=BR159),1)-SUM(BT159:BZ164),0),"")</f>
        <v/>
      </c>
      <c r="CB159" s="551">
        <f ca="1">SUM(BT159:CA164)</f>
        <v>0</v>
      </c>
    </row>
    <row r="160" spans="1:80" ht="0.2" customHeight="1" x14ac:dyDescent="0.2">
      <c r="A160" s="172">
        <f ca="1">Ruimtestaat!A160</f>
        <v>2</v>
      </c>
      <c r="B160" s="557"/>
      <c r="C160" s="11">
        <v>204</v>
      </c>
      <c r="D160" s="309"/>
      <c r="E160" s="310"/>
      <c r="F160" s="310"/>
      <c r="G160" s="310"/>
      <c r="H160" s="310"/>
      <c r="I160" s="312"/>
      <c r="J160" s="312"/>
      <c r="K160" s="560"/>
      <c r="L160" s="552"/>
      <c r="M160" s="172" t="b">
        <f>IF(_xlfn.XLOOKUP(BB160,Tabel2[Locatiecode],Tabel2[Type locatie],"",0)="vaccin",TRUE,FALSE)</f>
        <v>0</v>
      </c>
      <c r="BB160" s="272" t="str">
        <f>IF(Ruimtestaat!BC160="","",Ruimtestaat!BC160)</f>
        <v>OBD-LMS</v>
      </c>
      <c r="BC160" s="273">
        <f t="shared" si="4"/>
        <v>204</v>
      </c>
      <c r="BD160" s="274">
        <f ca="1">Ruimtestaat!D160*$BC160</f>
        <v>0</v>
      </c>
      <c r="BE160" s="275">
        <f ca="1">Ruimtestaat!E160*$BC160</f>
        <v>0</v>
      </c>
      <c r="BF160" s="275">
        <f ca="1">Ruimtestaat!F160*$BC160</f>
        <v>0</v>
      </c>
      <c r="BG160" s="275">
        <f ca="1">Ruimtestaat!G160*$BC160</f>
        <v>0</v>
      </c>
      <c r="BH160" s="275">
        <f ca="1">Ruimtestaat!H160*$BC160</f>
        <v>0</v>
      </c>
      <c r="BI160" s="276">
        <f ca="1">Ruimtestaat!I160*$BC160</f>
        <v>0</v>
      </c>
      <c r="BJ160" s="277">
        <f ca="1">Ruimtestaat!J160*$BC160</f>
        <v>0</v>
      </c>
      <c r="BK160" s="552"/>
      <c r="BR160" s="272" t="str">
        <f>IF(Ruimtestaat!BC160="","",Ruimtestaat!BC160)</f>
        <v>OBD-LMS</v>
      </c>
      <c r="BS160" s="273">
        <f t="shared" si="5"/>
        <v>204</v>
      </c>
      <c r="BT160" s="274" t="str">
        <f ca="1">IF(BD160&gt;0,IF(ISNUMBER(Schoonmaaknormen!D160),Schoonmaaknormen!BD160/Schoonmaaknormen!D160,0),"")</f>
        <v/>
      </c>
      <c r="BU160" s="275" t="str">
        <f ca="1">IF(BE160&gt;0,IF(ISNUMBER(Schoonmaaknormen!E160),Schoonmaaknormen!BE160/Schoonmaaknormen!E160,0),"")</f>
        <v/>
      </c>
      <c r="BV160" s="275" t="str">
        <f ca="1">IF(BF160&gt;0,IF(ISNUMBER(Schoonmaaknormen!F160),Schoonmaaknormen!BF160/Schoonmaaknormen!F160,0),"")</f>
        <v/>
      </c>
      <c r="BW160" s="275" t="str">
        <f ca="1">IF(BG160&gt;0,IF(ISNUMBER(Schoonmaaknormen!G160),Schoonmaaknormen!BG160/Schoonmaaknormen!G160,0),"")</f>
        <v/>
      </c>
      <c r="BX160" s="275" t="str">
        <f ca="1">IF(BH160&gt;0,IF(ISNUMBER(Schoonmaaknormen!H160),Schoonmaaknormen!BH160/Schoonmaaknormen!H160,0),"")</f>
        <v/>
      </c>
      <c r="BY160" s="275" t="str">
        <f ca="1">IF(BI160&gt;0,IF(ISNUMBER(Schoonmaaknormen!I160),Schoonmaaknormen!BI160/Schoonmaaknormen!I160,0),"")</f>
        <v/>
      </c>
      <c r="BZ160" s="275" t="str">
        <f ca="1">IF(BJ160&gt;0,IF(ISNUMBER(Schoonmaaknormen!J160),Schoonmaaknormen!BJ160/Schoonmaaknormen!J160,0),"")</f>
        <v/>
      </c>
      <c r="CA160" s="548"/>
      <c r="CB160" s="552"/>
    </row>
    <row r="161" spans="1:80" ht="0.2" customHeight="1" x14ac:dyDescent="0.2">
      <c r="A161" s="172">
        <f ca="1">Ruimtestaat!A161</f>
        <v>2</v>
      </c>
      <c r="B161" s="557"/>
      <c r="C161" s="11">
        <v>156</v>
      </c>
      <c r="D161" s="309"/>
      <c r="E161" s="310"/>
      <c r="F161" s="310"/>
      <c r="G161" s="310"/>
      <c r="H161" s="310"/>
      <c r="I161" s="312"/>
      <c r="J161" s="312"/>
      <c r="K161" s="560"/>
      <c r="L161" s="552"/>
      <c r="M161" s="172" t="b">
        <f>IF(_xlfn.XLOOKUP(BB161,Tabel2[Locatiecode],Tabel2[Type locatie],"",0)="vaccin",TRUE,FALSE)</f>
        <v>0</v>
      </c>
      <c r="BB161" s="272" t="str">
        <f>IF(Ruimtestaat!BC161="","",Ruimtestaat!BC161)</f>
        <v>OBD-LMS</v>
      </c>
      <c r="BC161" s="273">
        <f t="shared" si="4"/>
        <v>156</v>
      </c>
      <c r="BD161" s="274">
        <f ca="1">Ruimtestaat!D161*$BC161</f>
        <v>0</v>
      </c>
      <c r="BE161" s="275">
        <f ca="1">Ruimtestaat!E161*$BC161</f>
        <v>0</v>
      </c>
      <c r="BF161" s="275">
        <f ca="1">Ruimtestaat!F161*$BC161</f>
        <v>0</v>
      </c>
      <c r="BG161" s="275">
        <f ca="1">Ruimtestaat!G161*$BC161</f>
        <v>0</v>
      </c>
      <c r="BH161" s="275">
        <f ca="1">Ruimtestaat!H161*$BC161</f>
        <v>0</v>
      </c>
      <c r="BI161" s="276">
        <f ca="1">Ruimtestaat!I161*$BC161</f>
        <v>0</v>
      </c>
      <c r="BJ161" s="277">
        <f ca="1">Ruimtestaat!J161*$BC161</f>
        <v>0</v>
      </c>
      <c r="BK161" s="552"/>
      <c r="BR161" s="272" t="str">
        <f>IF(Ruimtestaat!BC161="","",Ruimtestaat!BC161)</f>
        <v>OBD-LMS</v>
      </c>
      <c r="BS161" s="273">
        <f t="shared" si="5"/>
        <v>156</v>
      </c>
      <c r="BT161" s="274" t="str">
        <f ca="1">IF(BD161&gt;0,IF(ISNUMBER(Schoonmaaknormen!D161),Schoonmaaknormen!BD161/Schoonmaaknormen!D161,0),"")</f>
        <v/>
      </c>
      <c r="BU161" s="275" t="str">
        <f ca="1">IF(BE161&gt;0,IF(ISNUMBER(Schoonmaaknormen!E161),Schoonmaaknormen!BE161/Schoonmaaknormen!E161,0),"")</f>
        <v/>
      </c>
      <c r="BV161" s="275" t="str">
        <f ca="1">IF(BF161&gt;0,IF(ISNUMBER(Schoonmaaknormen!F161),Schoonmaaknormen!BF161/Schoonmaaknormen!F161,0),"")</f>
        <v/>
      </c>
      <c r="BW161" s="275" t="str">
        <f ca="1">IF(BG161&gt;0,IF(ISNUMBER(Schoonmaaknormen!G161),Schoonmaaknormen!BG161/Schoonmaaknormen!G161,0),"")</f>
        <v/>
      </c>
      <c r="BX161" s="275" t="str">
        <f ca="1">IF(BH161&gt;0,IF(ISNUMBER(Schoonmaaknormen!H161),Schoonmaaknormen!BH161/Schoonmaaknormen!H161,0),"")</f>
        <v/>
      </c>
      <c r="BY161" s="275" t="str">
        <f ca="1">IF(BI161&gt;0,IF(ISNUMBER(Schoonmaaknormen!I161),Schoonmaaknormen!BI161/Schoonmaaknormen!I161,0),"")</f>
        <v/>
      </c>
      <c r="BZ161" s="275" t="str">
        <f ca="1">IF(BJ161&gt;0,IF(ISNUMBER(Schoonmaaknormen!J161),Schoonmaaknormen!BJ161/Schoonmaaknormen!J161,0),"")</f>
        <v/>
      </c>
      <c r="CA161" s="548"/>
      <c r="CB161" s="552"/>
    </row>
    <row r="162" spans="1:80" ht="0.2" customHeight="1" x14ac:dyDescent="0.2">
      <c r="A162" s="172">
        <f ca="1">Ruimtestaat!A162</f>
        <v>2</v>
      </c>
      <c r="B162" s="557"/>
      <c r="C162" s="11">
        <v>104</v>
      </c>
      <c r="D162" s="309"/>
      <c r="E162" s="310"/>
      <c r="F162" s="310"/>
      <c r="G162" s="310"/>
      <c r="H162" s="310"/>
      <c r="I162" s="312"/>
      <c r="J162" s="312"/>
      <c r="K162" s="561"/>
      <c r="L162" s="553"/>
      <c r="M162" s="172" t="b">
        <f>IF(_xlfn.XLOOKUP(BB162,Tabel2[Locatiecode],Tabel2[Type locatie],"",0)="vaccin",TRUE,FALSE)</f>
        <v>0</v>
      </c>
      <c r="BB162" s="278" t="str">
        <f>IF(Ruimtestaat!BC162="","",Ruimtestaat!BC162)</f>
        <v>OBD-LMS</v>
      </c>
      <c r="BC162" s="279">
        <f t="shared" si="4"/>
        <v>104</v>
      </c>
      <c r="BD162" s="280">
        <f ca="1">Ruimtestaat!D162*$BC162</f>
        <v>0</v>
      </c>
      <c r="BE162" s="281">
        <f ca="1">Ruimtestaat!E162*$BC162</f>
        <v>0</v>
      </c>
      <c r="BF162" s="281">
        <f ca="1">Ruimtestaat!F162*$BC162</f>
        <v>0</v>
      </c>
      <c r="BG162" s="281">
        <f ca="1">Ruimtestaat!G162*$BC162</f>
        <v>0</v>
      </c>
      <c r="BH162" s="281">
        <f ca="1">Ruimtestaat!H162*$BC162</f>
        <v>0</v>
      </c>
      <c r="BI162" s="282">
        <f ca="1">Ruimtestaat!I162*$BC162</f>
        <v>0</v>
      </c>
      <c r="BJ162" s="283">
        <f ca="1">Ruimtestaat!J162*$BC162</f>
        <v>0</v>
      </c>
      <c r="BK162" s="553"/>
      <c r="BR162" s="278" t="str">
        <f>IF(Ruimtestaat!BC162="","",Ruimtestaat!BC162)</f>
        <v>OBD-LMS</v>
      </c>
      <c r="BS162" s="313">
        <f t="shared" si="5"/>
        <v>104</v>
      </c>
      <c r="BT162" s="280" t="str">
        <f ca="1">IF(BD162&gt;0,IF(ISNUMBER(Schoonmaaknormen!D162),Schoonmaaknormen!BD162/Schoonmaaknormen!D162,0),"")</f>
        <v/>
      </c>
      <c r="BU162" s="314" t="str">
        <f ca="1">IF(BE162&gt;0,IF(ISNUMBER(Schoonmaaknormen!E162),Schoonmaaknormen!BE162/Schoonmaaknormen!E162,0),"")</f>
        <v/>
      </c>
      <c r="BV162" s="314" t="str">
        <f ca="1">IF(BF162&gt;0,IF(ISNUMBER(Schoonmaaknormen!F162),Schoonmaaknormen!BF162/Schoonmaaknormen!F162,0),"")</f>
        <v/>
      </c>
      <c r="BW162" s="314" t="str">
        <f ca="1">IF(BG162&gt;0,IF(ISNUMBER(Schoonmaaknormen!G162),Schoonmaaknormen!BG162/Schoonmaaknormen!G162,0),"")</f>
        <v/>
      </c>
      <c r="BX162" s="314" t="str">
        <f ca="1">IF(BH162&gt;0,IF(ISNUMBER(Schoonmaaknormen!H162),Schoonmaaknormen!BH162/Schoonmaaknormen!H162,0),"")</f>
        <v/>
      </c>
      <c r="BY162" s="314" t="str">
        <f ca="1">IF(BI162&gt;0,IF(ISNUMBER(Schoonmaaknormen!I162),Schoonmaaknormen!BI162/Schoonmaaknormen!I162,0),"")</f>
        <v/>
      </c>
      <c r="BZ162" s="314" t="str">
        <f ca="1">IF(BJ162&gt;0,IF(ISNUMBER(Schoonmaaknormen!J162),Schoonmaaknormen!BJ162/Schoonmaaknormen!J162,0),"")</f>
        <v/>
      </c>
      <c r="CA162" s="549"/>
      <c r="CB162" s="553"/>
    </row>
    <row r="163" spans="1:80" ht="0.2" customHeight="1" x14ac:dyDescent="0.2">
      <c r="A163" s="172">
        <f ca="1">Ruimtestaat!A163</f>
        <v>2</v>
      </c>
      <c r="B163" s="557"/>
      <c r="C163" s="11">
        <v>52</v>
      </c>
      <c r="D163" s="309"/>
      <c r="E163" s="310"/>
      <c r="F163" s="310"/>
      <c r="G163" s="310"/>
      <c r="H163" s="310"/>
      <c r="I163" s="312"/>
      <c r="J163" s="312"/>
      <c r="K163" s="561"/>
      <c r="L163" s="553"/>
      <c r="M163" s="172" t="b">
        <f>IF(_xlfn.XLOOKUP(BB163,Tabel2[Locatiecode],Tabel2[Type locatie],"",0)="vaccin",TRUE,FALSE)</f>
        <v>0</v>
      </c>
      <c r="BB163" s="284" t="str">
        <f>IF(Ruimtestaat!BC163="","",Ruimtestaat!BC163)</f>
        <v>OBD-LMS</v>
      </c>
      <c r="BC163" s="285">
        <f t="shared" si="4"/>
        <v>52</v>
      </c>
      <c r="BD163" s="286">
        <f ca="1">Ruimtestaat!D163*$BC163</f>
        <v>0</v>
      </c>
      <c r="BE163" s="287">
        <f ca="1">Ruimtestaat!E163*$BC163</f>
        <v>0</v>
      </c>
      <c r="BF163" s="287">
        <f ca="1">Ruimtestaat!F163*$BC163</f>
        <v>0</v>
      </c>
      <c r="BG163" s="287">
        <f ca="1">Ruimtestaat!G163*$BC163</f>
        <v>0</v>
      </c>
      <c r="BH163" s="287">
        <f ca="1">Ruimtestaat!H163*$BC163</f>
        <v>0</v>
      </c>
      <c r="BI163" s="288">
        <f ca="1">Ruimtestaat!I163*$BC163</f>
        <v>0</v>
      </c>
      <c r="BJ163" s="289">
        <f ca="1">Ruimtestaat!J163*$BC163</f>
        <v>0</v>
      </c>
      <c r="BK163" s="553"/>
      <c r="BR163" s="284" t="str">
        <f>IF(Ruimtestaat!BC163="","",Ruimtestaat!BC163)</f>
        <v>OBD-LMS</v>
      </c>
      <c r="BS163" s="285">
        <f t="shared" si="5"/>
        <v>52</v>
      </c>
      <c r="BT163" s="286" t="str">
        <f ca="1">IF(BD163&gt;0,IF(ISNUMBER(Schoonmaaknormen!D163),Schoonmaaknormen!BD163/Schoonmaaknormen!D163,0),"")</f>
        <v/>
      </c>
      <c r="BU163" s="287" t="str">
        <f ca="1">IF(BE163&gt;0,IF(ISNUMBER(Schoonmaaknormen!E163),Schoonmaaknormen!BE163/Schoonmaaknormen!E163,0),"")</f>
        <v/>
      </c>
      <c r="BV163" s="287" t="str">
        <f ca="1">IF(BF163&gt;0,IF(ISNUMBER(Schoonmaaknormen!F163),Schoonmaaknormen!BF163/Schoonmaaknormen!F163,0),"")</f>
        <v/>
      </c>
      <c r="BW163" s="287" t="str">
        <f ca="1">IF(BG163&gt;0,IF(ISNUMBER(Schoonmaaknormen!G163),Schoonmaaknormen!BG163/Schoonmaaknormen!G163,0),"")</f>
        <v/>
      </c>
      <c r="BX163" s="287" t="str">
        <f ca="1">IF(BH163&gt;0,IF(ISNUMBER(Schoonmaaknormen!H163),Schoonmaaknormen!BH163/Schoonmaaknormen!H163,0),"")</f>
        <v/>
      </c>
      <c r="BY163" s="287" t="str">
        <f ca="1">IF(BI163&gt;0,IF(ISNUMBER(Schoonmaaknormen!I163),Schoonmaaknormen!BI163/Schoonmaaknormen!I163,0),"")</f>
        <v/>
      </c>
      <c r="BZ163" s="287" t="str">
        <f ca="1">IF(BJ163&gt;0,IF(ISNUMBER(Schoonmaaknormen!J163),Schoonmaaknormen!BJ163/Schoonmaaknormen!J163,0),"")</f>
        <v/>
      </c>
      <c r="CA163" s="549"/>
      <c r="CB163" s="553"/>
    </row>
    <row r="164" spans="1:80" ht="0.2" customHeight="1" x14ac:dyDescent="0.2">
      <c r="A164" s="172">
        <f ca="1">Ruimtestaat!A164</f>
        <v>2</v>
      </c>
      <c r="B164" s="558"/>
      <c r="C164" s="290">
        <v>4</v>
      </c>
      <c r="D164" s="186"/>
      <c r="E164" s="187"/>
      <c r="F164" s="187"/>
      <c r="G164" s="187"/>
      <c r="H164" s="187"/>
      <c r="I164" s="189"/>
      <c r="J164" s="189"/>
      <c r="K164" s="562"/>
      <c r="L164" s="554"/>
      <c r="M164" s="172" t="b">
        <f>IF(_xlfn.XLOOKUP(BB164,Tabel2[Locatiecode],Tabel2[Type locatie],"",0)="vaccin",TRUE,FALSE)</f>
        <v>0</v>
      </c>
      <c r="BB164" s="291" t="str">
        <f>IF(Ruimtestaat!BC164="","",Ruimtestaat!BC164)</f>
        <v>OBD-LMS</v>
      </c>
      <c r="BC164" s="292">
        <f t="shared" si="4"/>
        <v>4</v>
      </c>
      <c r="BD164" s="293">
        <f ca="1">Ruimtestaat!D164*$BC164</f>
        <v>0</v>
      </c>
      <c r="BE164" s="294">
        <f ca="1">Ruimtestaat!E164*$BC164</f>
        <v>0</v>
      </c>
      <c r="BF164" s="294">
        <f ca="1">Ruimtestaat!F164*$BC164</f>
        <v>0</v>
      </c>
      <c r="BG164" s="294">
        <f ca="1">Ruimtestaat!G164*$BC164</f>
        <v>0</v>
      </c>
      <c r="BH164" s="294">
        <f ca="1">Ruimtestaat!H164*$BC164</f>
        <v>0</v>
      </c>
      <c r="BI164" s="295">
        <f ca="1">Ruimtestaat!I164*$BC164</f>
        <v>0</v>
      </c>
      <c r="BJ164" s="296">
        <f ca="1">Ruimtestaat!J164*$BC164</f>
        <v>0</v>
      </c>
      <c r="BK164" s="554"/>
      <c r="BR164" s="291" t="str">
        <f>IF(Ruimtestaat!BC164="","",Ruimtestaat!BC164)</f>
        <v>OBD-LMS</v>
      </c>
      <c r="BS164" s="292">
        <f t="shared" si="5"/>
        <v>4</v>
      </c>
      <c r="BT164" s="293" t="str">
        <f ca="1">IF(BD164&gt;0,IF(ISNUMBER(Schoonmaaknormen!D164),Schoonmaaknormen!BD164/Schoonmaaknormen!D164,0),"")</f>
        <v/>
      </c>
      <c r="BU164" s="294" t="str">
        <f ca="1">IF(BE164&gt;0,IF(ISNUMBER(Schoonmaaknormen!E164),Schoonmaaknormen!BE164/Schoonmaaknormen!E164,0),"")</f>
        <v/>
      </c>
      <c r="BV164" s="294" t="str">
        <f ca="1">IF(BF164&gt;0,IF(ISNUMBER(Schoonmaaknormen!F164),Schoonmaaknormen!BF164/Schoonmaaknormen!F164,0),"")</f>
        <v/>
      </c>
      <c r="BW164" s="294" t="str">
        <f ca="1">IF(BG164&gt;0,IF(ISNUMBER(Schoonmaaknormen!G164),Schoonmaaknormen!BG164/Schoonmaaknormen!G164,0),"")</f>
        <v/>
      </c>
      <c r="BX164" s="294" t="str">
        <f ca="1">IF(BH164&gt;0,IF(ISNUMBER(Schoonmaaknormen!H164),Schoonmaaknormen!BH164/Schoonmaaknormen!H164,0),"")</f>
        <v/>
      </c>
      <c r="BY164" s="294" t="str">
        <f ca="1">IF(BI164&gt;0,IF(ISNUMBER(Schoonmaaknormen!I164),Schoonmaaknormen!BI164/Schoonmaaknormen!I164,0),"")</f>
        <v/>
      </c>
      <c r="BZ164" s="294" t="str">
        <f ca="1">IF(BJ164&gt;0,IF(ISNUMBER(Schoonmaaknormen!J164),Schoonmaaknormen!BJ164/Schoonmaaknormen!J164,0),"")</f>
        <v/>
      </c>
      <c r="CA164" s="555"/>
      <c r="CB164" s="554"/>
    </row>
    <row r="165" spans="1:80" ht="15" customHeight="1" x14ac:dyDescent="0.2">
      <c r="A165" s="172">
        <f ca="1">Ruimtestaat!A165</f>
        <v>1</v>
      </c>
      <c r="B165" s="556" t="str">
        <f>BB165</f>
        <v>SCH-ZDW</v>
      </c>
      <c r="C165" s="298">
        <v>255</v>
      </c>
      <c r="D165" s="299"/>
      <c r="E165" s="300"/>
      <c r="F165" s="300"/>
      <c r="G165" s="300"/>
      <c r="H165" s="300"/>
      <c r="I165" s="302"/>
      <c r="J165" s="302"/>
      <c r="K165" s="559"/>
      <c r="L165" s="551" t="str" cm="1">
        <f t="array" aca="1" ref="L165" ca="1">_xlfn.IFS(A165=2,"",COUNTBLANK(D165:J170)=COUNTIF(Ruimtestaat!D165:J170,"&lt;=0"),BK165/CB165,TRUE,"")</f>
        <v/>
      </c>
      <c r="M165" s="172" t="b">
        <f>IF(_xlfn.XLOOKUP(BB165,Tabel2[Locatiecode],Tabel2[Type locatie],"",0)="vaccin",TRUE,FALSE)</f>
        <v>0</v>
      </c>
      <c r="BB165" s="303" t="str">
        <f>IF(Ruimtestaat!BC165="","",Ruimtestaat!BC165)</f>
        <v>SCH-ZDW</v>
      </c>
      <c r="BC165" s="304">
        <f t="shared" si="4"/>
        <v>255</v>
      </c>
      <c r="BD165" s="305">
        <f ca="1">Ruimtestaat!D165*$BC165</f>
        <v>15274.5</v>
      </c>
      <c r="BE165" s="306">
        <f ca="1">Ruimtestaat!E165*$BC165</f>
        <v>22389</v>
      </c>
      <c r="BF165" s="306">
        <f ca="1">Ruimtestaat!F165*$BC165</f>
        <v>67575.000000000015</v>
      </c>
      <c r="BG165" s="306">
        <f ca="1">Ruimtestaat!G165*$BC165</f>
        <v>3213</v>
      </c>
      <c r="BH165" s="306">
        <f ca="1">Ruimtestaat!H165*$BC165</f>
        <v>663</v>
      </c>
      <c r="BI165" s="307">
        <f ca="1">Ruimtestaat!I165*$BC165</f>
        <v>18487.5</v>
      </c>
      <c r="BJ165" s="308">
        <f ca="1">Ruimtestaat!J165*$BC165</f>
        <v>0</v>
      </c>
      <c r="BK165" s="552">
        <f ca="1">SUM(BD165:BJ170)</f>
        <v>127602.00000000001</v>
      </c>
      <c r="BR165" s="303" t="str">
        <f>IF(Ruimtestaat!BC165="","",Ruimtestaat!BC165)</f>
        <v>SCH-ZDW</v>
      </c>
      <c r="BS165" s="304">
        <f t="shared" si="5"/>
        <v>255</v>
      </c>
      <c r="BT165" s="305">
        <f ca="1">IF(BD165&gt;0,IF(ISNUMBER(Schoonmaaknormen!D165),Schoonmaaknormen!BD165/Schoonmaaknormen!D165,0),"")</f>
        <v>0</v>
      </c>
      <c r="BU165" s="306">
        <f ca="1">IF(BE165&gt;0,IF(ISNUMBER(Schoonmaaknormen!E165),Schoonmaaknormen!BE165/Schoonmaaknormen!E165,0),"")</f>
        <v>0</v>
      </c>
      <c r="BV165" s="306">
        <f ca="1">IF(BF165&gt;0,IF(ISNUMBER(Schoonmaaknormen!F165),Schoonmaaknormen!BF165/Schoonmaaknormen!F165,0),"")</f>
        <v>0</v>
      </c>
      <c r="BW165" s="306">
        <f ca="1">IF(BG165&gt;0,IF(ISNUMBER(Schoonmaaknormen!G165),Schoonmaaknormen!BG165/Schoonmaaknormen!G165,0),"")</f>
        <v>0</v>
      </c>
      <c r="BX165" s="306">
        <f ca="1">IF(BH165&gt;0,IF(ISNUMBER(Schoonmaaknormen!H165),Schoonmaaknormen!BH165/Schoonmaaknormen!H165,0),"")</f>
        <v>0</v>
      </c>
      <c r="BY165" s="306">
        <f ca="1">IF(BI165&gt;0,IF(ISNUMBER(Schoonmaaknormen!I165),Schoonmaaknormen!BI165/Schoonmaaknormen!I165,0),"")</f>
        <v>0</v>
      </c>
      <c r="BZ165" s="306" t="str">
        <f ca="1">IF(BJ165&gt;0,IF(ISNUMBER(Schoonmaaknormen!J165),Schoonmaaknormen!BJ165/Schoonmaaknormen!J165,0),"")</f>
        <v/>
      </c>
      <c r="CA165" s="547" t="str" cm="1">
        <f t="array" ref="CA165">IF(ISNUMBER(K165),IF(SUM(BT165:BZ170)/LARGE(_xlfn._xlws.FILTER(Ruimtestaat!BD:BD,Ruimtestaat!BC:BC=BR165),1)&lt;K165,K165*LARGE(_xlfn._xlws.FILTER(Ruimtestaat!BD:BD,Ruimtestaat!BC:BC=BR165),1)-SUM(BT165:BZ170),0),"")</f>
        <v/>
      </c>
      <c r="CB165" s="551">
        <f ca="1">SUM(BT165:CA170)</f>
        <v>0</v>
      </c>
    </row>
    <row r="166" spans="1:80" ht="0.2" customHeight="1" x14ac:dyDescent="0.2">
      <c r="A166" s="172">
        <f ca="1">Ruimtestaat!A166</f>
        <v>2</v>
      </c>
      <c r="B166" s="557"/>
      <c r="C166" s="11">
        <v>204</v>
      </c>
      <c r="D166" s="309"/>
      <c r="E166" s="310"/>
      <c r="F166" s="310"/>
      <c r="G166" s="310"/>
      <c r="H166" s="310"/>
      <c r="I166" s="312"/>
      <c r="J166" s="312"/>
      <c r="K166" s="560"/>
      <c r="L166" s="552"/>
      <c r="M166" s="172" t="b">
        <f>IF(_xlfn.XLOOKUP(BB166,Tabel2[Locatiecode],Tabel2[Type locatie],"",0)="vaccin",TRUE,FALSE)</f>
        <v>0</v>
      </c>
      <c r="BB166" s="272" t="str">
        <f>IF(Ruimtestaat!BC166="","",Ruimtestaat!BC166)</f>
        <v>SCH-ZDW</v>
      </c>
      <c r="BC166" s="273">
        <f t="shared" si="4"/>
        <v>204</v>
      </c>
      <c r="BD166" s="274">
        <f ca="1">Ruimtestaat!D166*$BC166</f>
        <v>0</v>
      </c>
      <c r="BE166" s="275">
        <f ca="1">Ruimtestaat!E166*$BC166</f>
        <v>0</v>
      </c>
      <c r="BF166" s="275">
        <f ca="1">Ruimtestaat!F166*$BC166</f>
        <v>0</v>
      </c>
      <c r="BG166" s="275">
        <f ca="1">Ruimtestaat!G166*$BC166</f>
        <v>0</v>
      </c>
      <c r="BH166" s="275">
        <f ca="1">Ruimtestaat!H166*$BC166</f>
        <v>0</v>
      </c>
      <c r="BI166" s="276">
        <f ca="1">Ruimtestaat!I166*$BC166</f>
        <v>0</v>
      </c>
      <c r="BJ166" s="277">
        <f ca="1">Ruimtestaat!J166*$BC166</f>
        <v>0</v>
      </c>
      <c r="BK166" s="552"/>
      <c r="BR166" s="272" t="str">
        <f>IF(Ruimtestaat!BC166="","",Ruimtestaat!BC166)</f>
        <v>SCH-ZDW</v>
      </c>
      <c r="BS166" s="273">
        <f t="shared" si="5"/>
        <v>204</v>
      </c>
      <c r="BT166" s="274" t="str">
        <f ca="1">IF(BD166&gt;0,IF(ISNUMBER(Schoonmaaknormen!D166),Schoonmaaknormen!BD166/Schoonmaaknormen!D166,0),"")</f>
        <v/>
      </c>
      <c r="BU166" s="275" t="str">
        <f ca="1">IF(BE166&gt;0,IF(ISNUMBER(Schoonmaaknormen!E166),Schoonmaaknormen!BE166/Schoonmaaknormen!E166,0),"")</f>
        <v/>
      </c>
      <c r="BV166" s="275" t="str">
        <f ca="1">IF(BF166&gt;0,IF(ISNUMBER(Schoonmaaknormen!F166),Schoonmaaknormen!BF166/Schoonmaaknormen!F166,0),"")</f>
        <v/>
      </c>
      <c r="BW166" s="275" t="str">
        <f ca="1">IF(BG166&gt;0,IF(ISNUMBER(Schoonmaaknormen!G166),Schoonmaaknormen!BG166/Schoonmaaknormen!G166,0),"")</f>
        <v/>
      </c>
      <c r="BX166" s="275" t="str">
        <f ca="1">IF(BH166&gt;0,IF(ISNUMBER(Schoonmaaknormen!H166),Schoonmaaknormen!BH166/Schoonmaaknormen!H166,0),"")</f>
        <v/>
      </c>
      <c r="BY166" s="275" t="str">
        <f ca="1">IF(BI166&gt;0,IF(ISNUMBER(Schoonmaaknormen!I166),Schoonmaaknormen!BI166/Schoonmaaknormen!I166,0),"")</f>
        <v/>
      </c>
      <c r="BZ166" s="275" t="str">
        <f ca="1">IF(BJ166&gt;0,IF(ISNUMBER(Schoonmaaknormen!J166),Schoonmaaknormen!BJ166/Schoonmaaknormen!J166,0),"")</f>
        <v/>
      </c>
      <c r="CA166" s="548"/>
      <c r="CB166" s="552"/>
    </row>
    <row r="167" spans="1:80" ht="0.2" customHeight="1" x14ac:dyDescent="0.2">
      <c r="A167" s="172">
        <f ca="1">Ruimtestaat!A167</f>
        <v>2</v>
      </c>
      <c r="B167" s="557"/>
      <c r="C167" s="11">
        <v>156</v>
      </c>
      <c r="D167" s="309"/>
      <c r="E167" s="310"/>
      <c r="F167" s="310"/>
      <c r="G167" s="310"/>
      <c r="H167" s="310"/>
      <c r="I167" s="312"/>
      <c r="J167" s="312"/>
      <c r="K167" s="560"/>
      <c r="L167" s="552"/>
      <c r="M167" s="172" t="b">
        <f>IF(_xlfn.XLOOKUP(BB167,Tabel2[Locatiecode],Tabel2[Type locatie],"",0)="vaccin",TRUE,FALSE)</f>
        <v>0</v>
      </c>
      <c r="BB167" s="272" t="str">
        <f>IF(Ruimtestaat!BC167="","",Ruimtestaat!BC167)</f>
        <v>SCH-ZDW</v>
      </c>
      <c r="BC167" s="273">
        <f t="shared" si="4"/>
        <v>156</v>
      </c>
      <c r="BD167" s="274">
        <f ca="1">Ruimtestaat!D167*$BC167</f>
        <v>0</v>
      </c>
      <c r="BE167" s="275">
        <f ca="1">Ruimtestaat!E167*$BC167</f>
        <v>0</v>
      </c>
      <c r="BF167" s="275">
        <f ca="1">Ruimtestaat!F167*$BC167</f>
        <v>0</v>
      </c>
      <c r="BG167" s="275">
        <f ca="1">Ruimtestaat!G167*$BC167</f>
        <v>0</v>
      </c>
      <c r="BH167" s="275">
        <f ca="1">Ruimtestaat!H167*$BC167</f>
        <v>0</v>
      </c>
      <c r="BI167" s="276">
        <f ca="1">Ruimtestaat!I167*$BC167</f>
        <v>0</v>
      </c>
      <c r="BJ167" s="277">
        <f ca="1">Ruimtestaat!J167*$BC167</f>
        <v>0</v>
      </c>
      <c r="BK167" s="552"/>
      <c r="BR167" s="272" t="str">
        <f>IF(Ruimtestaat!BC167="","",Ruimtestaat!BC167)</f>
        <v>SCH-ZDW</v>
      </c>
      <c r="BS167" s="273">
        <f t="shared" si="5"/>
        <v>156</v>
      </c>
      <c r="BT167" s="274" t="str">
        <f ca="1">IF(BD167&gt;0,IF(ISNUMBER(Schoonmaaknormen!D167),Schoonmaaknormen!BD167/Schoonmaaknormen!D167,0),"")</f>
        <v/>
      </c>
      <c r="BU167" s="275" t="str">
        <f ca="1">IF(BE167&gt;0,IF(ISNUMBER(Schoonmaaknormen!E167),Schoonmaaknormen!BE167/Schoonmaaknormen!E167,0),"")</f>
        <v/>
      </c>
      <c r="BV167" s="275" t="str">
        <f ca="1">IF(BF167&gt;0,IF(ISNUMBER(Schoonmaaknormen!F167),Schoonmaaknormen!BF167/Schoonmaaknormen!F167,0),"")</f>
        <v/>
      </c>
      <c r="BW167" s="275" t="str">
        <f ca="1">IF(BG167&gt;0,IF(ISNUMBER(Schoonmaaknormen!G167),Schoonmaaknormen!BG167/Schoonmaaknormen!G167,0),"")</f>
        <v/>
      </c>
      <c r="BX167" s="275" t="str">
        <f ca="1">IF(BH167&gt;0,IF(ISNUMBER(Schoonmaaknormen!H167),Schoonmaaknormen!BH167/Schoonmaaknormen!H167,0),"")</f>
        <v/>
      </c>
      <c r="BY167" s="275" t="str">
        <f ca="1">IF(BI167&gt;0,IF(ISNUMBER(Schoonmaaknormen!I167),Schoonmaaknormen!BI167/Schoonmaaknormen!I167,0),"")</f>
        <v/>
      </c>
      <c r="BZ167" s="275" t="str">
        <f ca="1">IF(BJ167&gt;0,IF(ISNUMBER(Schoonmaaknormen!J167),Schoonmaaknormen!BJ167/Schoonmaaknormen!J167,0),"")</f>
        <v/>
      </c>
      <c r="CA167" s="548"/>
      <c r="CB167" s="552"/>
    </row>
    <row r="168" spans="1:80" ht="0.2" customHeight="1" x14ac:dyDescent="0.2">
      <c r="A168" s="172">
        <f ca="1">Ruimtestaat!A168</f>
        <v>2</v>
      </c>
      <c r="B168" s="557"/>
      <c r="C168" s="11">
        <v>104</v>
      </c>
      <c r="D168" s="309"/>
      <c r="E168" s="310"/>
      <c r="F168" s="310"/>
      <c r="G168" s="310"/>
      <c r="H168" s="310"/>
      <c r="I168" s="312"/>
      <c r="J168" s="312"/>
      <c r="K168" s="561"/>
      <c r="L168" s="553"/>
      <c r="M168" s="172" t="b">
        <f>IF(_xlfn.XLOOKUP(BB168,Tabel2[Locatiecode],Tabel2[Type locatie],"",0)="vaccin",TRUE,FALSE)</f>
        <v>0</v>
      </c>
      <c r="BB168" s="278" t="str">
        <f>IF(Ruimtestaat!BC168="","",Ruimtestaat!BC168)</f>
        <v>SCH-ZDW</v>
      </c>
      <c r="BC168" s="279">
        <f t="shared" si="4"/>
        <v>104</v>
      </c>
      <c r="BD168" s="280">
        <f ca="1">Ruimtestaat!D168*$BC168</f>
        <v>0</v>
      </c>
      <c r="BE168" s="281">
        <f ca="1">Ruimtestaat!E168*$BC168</f>
        <v>0</v>
      </c>
      <c r="BF168" s="281">
        <f ca="1">Ruimtestaat!F168*$BC168</f>
        <v>0</v>
      </c>
      <c r="BG168" s="281">
        <f ca="1">Ruimtestaat!G168*$BC168</f>
        <v>0</v>
      </c>
      <c r="BH168" s="281">
        <f ca="1">Ruimtestaat!H168*$BC168</f>
        <v>0</v>
      </c>
      <c r="BI168" s="282">
        <f ca="1">Ruimtestaat!I168*$BC168</f>
        <v>0</v>
      </c>
      <c r="BJ168" s="283">
        <f ca="1">Ruimtestaat!J168*$BC168</f>
        <v>0</v>
      </c>
      <c r="BK168" s="553"/>
      <c r="BR168" s="278" t="str">
        <f>IF(Ruimtestaat!BC168="","",Ruimtestaat!BC168)</f>
        <v>SCH-ZDW</v>
      </c>
      <c r="BS168" s="313">
        <f t="shared" si="5"/>
        <v>104</v>
      </c>
      <c r="BT168" s="280" t="str">
        <f ca="1">IF(BD168&gt;0,IF(ISNUMBER(Schoonmaaknormen!D168),Schoonmaaknormen!BD168/Schoonmaaknormen!D168,0),"")</f>
        <v/>
      </c>
      <c r="BU168" s="314" t="str">
        <f ca="1">IF(BE168&gt;0,IF(ISNUMBER(Schoonmaaknormen!E168),Schoonmaaknormen!BE168/Schoonmaaknormen!E168,0),"")</f>
        <v/>
      </c>
      <c r="BV168" s="314" t="str">
        <f ca="1">IF(BF168&gt;0,IF(ISNUMBER(Schoonmaaknormen!F168),Schoonmaaknormen!BF168/Schoonmaaknormen!F168,0),"")</f>
        <v/>
      </c>
      <c r="BW168" s="314" t="str">
        <f ca="1">IF(BG168&gt;0,IF(ISNUMBER(Schoonmaaknormen!G168),Schoonmaaknormen!BG168/Schoonmaaknormen!G168,0),"")</f>
        <v/>
      </c>
      <c r="BX168" s="314" t="str">
        <f ca="1">IF(BH168&gt;0,IF(ISNUMBER(Schoonmaaknormen!H168),Schoonmaaknormen!BH168/Schoonmaaknormen!H168,0),"")</f>
        <v/>
      </c>
      <c r="BY168" s="314" t="str">
        <f ca="1">IF(BI168&gt;0,IF(ISNUMBER(Schoonmaaknormen!I168),Schoonmaaknormen!BI168/Schoonmaaknormen!I168,0),"")</f>
        <v/>
      </c>
      <c r="BZ168" s="314" t="str">
        <f ca="1">IF(BJ168&gt;0,IF(ISNUMBER(Schoonmaaknormen!J168),Schoonmaaknormen!BJ168/Schoonmaaknormen!J168,0),"")</f>
        <v/>
      </c>
      <c r="CA168" s="549"/>
      <c r="CB168" s="553"/>
    </row>
    <row r="169" spans="1:80" ht="0.2" customHeight="1" x14ac:dyDescent="0.2">
      <c r="A169" s="172">
        <f ca="1">Ruimtestaat!A169</f>
        <v>2</v>
      </c>
      <c r="B169" s="557"/>
      <c r="C169" s="11">
        <v>52</v>
      </c>
      <c r="D169" s="309"/>
      <c r="E169" s="310"/>
      <c r="F169" s="310"/>
      <c r="G169" s="310"/>
      <c r="H169" s="310"/>
      <c r="I169" s="312"/>
      <c r="J169" s="312"/>
      <c r="K169" s="561"/>
      <c r="L169" s="553"/>
      <c r="M169" s="172" t="b">
        <f>IF(_xlfn.XLOOKUP(BB169,Tabel2[Locatiecode],Tabel2[Type locatie],"",0)="vaccin",TRUE,FALSE)</f>
        <v>0</v>
      </c>
      <c r="BB169" s="284" t="str">
        <f>IF(Ruimtestaat!BC169="","",Ruimtestaat!BC169)</f>
        <v>SCH-ZDW</v>
      </c>
      <c r="BC169" s="285">
        <f t="shared" si="4"/>
        <v>52</v>
      </c>
      <c r="BD169" s="286">
        <f ca="1">Ruimtestaat!D169*$BC169</f>
        <v>0</v>
      </c>
      <c r="BE169" s="287">
        <f ca="1">Ruimtestaat!E169*$BC169</f>
        <v>0</v>
      </c>
      <c r="BF169" s="287">
        <f ca="1">Ruimtestaat!F169*$BC169</f>
        <v>0</v>
      </c>
      <c r="BG169" s="287">
        <f ca="1">Ruimtestaat!G169*$BC169</f>
        <v>0</v>
      </c>
      <c r="BH169" s="287">
        <f ca="1">Ruimtestaat!H169*$BC169</f>
        <v>0</v>
      </c>
      <c r="BI169" s="288">
        <f ca="1">Ruimtestaat!I169*$BC169</f>
        <v>0</v>
      </c>
      <c r="BJ169" s="289">
        <f ca="1">Ruimtestaat!J169*$BC169</f>
        <v>0</v>
      </c>
      <c r="BK169" s="553"/>
      <c r="BR169" s="284" t="str">
        <f>IF(Ruimtestaat!BC169="","",Ruimtestaat!BC169)</f>
        <v>SCH-ZDW</v>
      </c>
      <c r="BS169" s="285">
        <f t="shared" si="5"/>
        <v>52</v>
      </c>
      <c r="BT169" s="286" t="str">
        <f ca="1">IF(BD169&gt;0,IF(ISNUMBER(Schoonmaaknormen!D169),Schoonmaaknormen!BD169/Schoonmaaknormen!D169,0),"")</f>
        <v/>
      </c>
      <c r="BU169" s="287" t="str">
        <f ca="1">IF(BE169&gt;0,IF(ISNUMBER(Schoonmaaknormen!E169),Schoonmaaknormen!BE169/Schoonmaaknormen!E169,0),"")</f>
        <v/>
      </c>
      <c r="BV169" s="287" t="str">
        <f ca="1">IF(BF169&gt;0,IF(ISNUMBER(Schoonmaaknormen!F169),Schoonmaaknormen!BF169/Schoonmaaknormen!F169,0),"")</f>
        <v/>
      </c>
      <c r="BW169" s="287" t="str">
        <f ca="1">IF(BG169&gt;0,IF(ISNUMBER(Schoonmaaknormen!G169),Schoonmaaknormen!BG169/Schoonmaaknormen!G169,0),"")</f>
        <v/>
      </c>
      <c r="BX169" s="287" t="str">
        <f ca="1">IF(BH169&gt;0,IF(ISNUMBER(Schoonmaaknormen!H169),Schoonmaaknormen!BH169/Schoonmaaknormen!H169,0),"")</f>
        <v/>
      </c>
      <c r="BY169" s="287" t="str">
        <f ca="1">IF(BI169&gt;0,IF(ISNUMBER(Schoonmaaknormen!I169),Schoonmaaknormen!BI169/Schoonmaaknormen!I169,0),"")</f>
        <v/>
      </c>
      <c r="BZ169" s="287" t="str">
        <f ca="1">IF(BJ169&gt;0,IF(ISNUMBER(Schoonmaaknormen!J169),Schoonmaaknormen!BJ169/Schoonmaaknormen!J169,0),"")</f>
        <v/>
      </c>
      <c r="CA169" s="549"/>
      <c r="CB169" s="553"/>
    </row>
    <row r="170" spans="1:80" ht="0.2" customHeight="1" x14ac:dyDescent="0.2">
      <c r="A170" s="172">
        <f ca="1">Ruimtestaat!A170</f>
        <v>2</v>
      </c>
      <c r="B170" s="558"/>
      <c r="C170" s="290">
        <v>4</v>
      </c>
      <c r="D170" s="186"/>
      <c r="E170" s="187"/>
      <c r="F170" s="187"/>
      <c r="G170" s="187"/>
      <c r="H170" s="187"/>
      <c r="I170" s="189"/>
      <c r="J170" s="189"/>
      <c r="K170" s="562"/>
      <c r="L170" s="554"/>
      <c r="M170" s="172" t="b">
        <f>IF(_xlfn.XLOOKUP(BB170,Tabel2[Locatiecode],Tabel2[Type locatie],"",0)="vaccin",TRUE,FALSE)</f>
        <v>0</v>
      </c>
      <c r="BB170" s="291" t="str">
        <f>IF(Ruimtestaat!BC170="","",Ruimtestaat!BC170)</f>
        <v>SCH-ZDW</v>
      </c>
      <c r="BC170" s="292">
        <f t="shared" si="4"/>
        <v>4</v>
      </c>
      <c r="BD170" s="293">
        <f ca="1">Ruimtestaat!D170*$BC170</f>
        <v>0</v>
      </c>
      <c r="BE170" s="294">
        <f ca="1">Ruimtestaat!E170*$BC170</f>
        <v>0</v>
      </c>
      <c r="BF170" s="294">
        <f ca="1">Ruimtestaat!F170*$BC170</f>
        <v>0</v>
      </c>
      <c r="BG170" s="294">
        <f ca="1">Ruimtestaat!G170*$BC170</f>
        <v>0</v>
      </c>
      <c r="BH170" s="294">
        <f ca="1">Ruimtestaat!H170*$BC170</f>
        <v>0</v>
      </c>
      <c r="BI170" s="295">
        <f ca="1">Ruimtestaat!I170*$BC170</f>
        <v>0</v>
      </c>
      <c r="BJ170" s="296">
        <f ca="1">Ruimtestaat!J170*$BC170</f>
        <v>0</v>
      </c>
      <c r="BK170" s="554"/>
      <c r="BR170" s="291" t="str">
        <f>IF(Ruimtestaat!BC170="","",Ruimtestaat!BC170)</f>
        <v>SCH-ZDW</v>
      </c>
      <c r="BS170" s="292">
        <f t="shared" si="5"/>
        <v>4</v>
      </c>
      <c r="BT170" s="293" t="str">
        <f ca="1">IF(BD170&gt;0,IF(ISNUMBER(Schoonmaaknormen!D170),Schoonmaaknormen!BD170/Schoonmaaknormen!D170,0),"")</f>
        <v/>
      </c>
      <c r="BU170" s="294" t="str">
        <f ca="1">IF(BE170&gt;0,IF(ISNUMBER(Schoonmaaknormen!E170),Schoonmaaknormen!BE170/Schoonmaaknormen!E170,0),"")</f>
        <v/>
      </c>
      <c r="BV170" s="294" t="str">
        <f ca="1">IF(BF170&gt;0,IF(ISNUMBER(Schoonmaaknormen!F170),Schoonmaaknormen!BF170/Schoonmaaknormen!F170,0),"")</f>
        <v/>
      </c>
      <c r="BW170" s="294" t="str">
        <f ca="1">IF(BG170&gt;0,IF(ISNUMBER(Schoonmaaknormen!G170),Schoonmaaknormen!BG170/Schoonmaaknormen!G170,0),"")</f>
        <v/>
      </c>
      <c r="BX170" s="294" t="str">
        <f ca="1">IF(BH170&gt;0,IF(ISNUMBER(Schoonmaaknormen!H170),Schoonmaaknormen!BH170/Schoonmaaknormen!H170,0),"")</f>
        <v/>
      </c>
      <c r="BY170" s="294" t="str">
        <f ca="1">IF(BI170&gt;0,IF(ISNUMBER(Schoonmaaknormen!I170),Schoonmaaknormen!BI170/Schoonmaaknormen!I170,0),"")</f>
        <v/>
      </c>
      <c r="BZ170" s="294" t="str">
        <f ca="1">IF(BJ170&gt;0,IF(ISNUMBER(Schoonmaaknormen!J170),Schoonmaaknormen!BJ170/Schoonmaaknormen!J170,0),"")</f>
        <v/>
      </c>
      <c r="CA170" s="555"/>
      <c r="CB170" s="554"/>
    </row>
    <row r="171" spans="1:80" ht="15" customHeight="1" x14ac:dyDescent="0.2">
      <c r="A171" s="172">
        <f ca="1">Ruimtestaat!A171</f>
        <v>1</v>
      </c>
      <c r="B171" s="556" t="str">
        <f>BB171</f>
        <v>SPB-PMS</v>
      </c>
      <c r="C171" s="298">
        <v>255</v>
      </c>
      <c r="D171" s="299"/>
      <c r="E171" s="300"/>
      <c r="F171" s="300"/>
      <c r="G171" s="300"/>
      <c r="H171" s="300"/>
      <c r="I171" s="302"/>
      <c r="J171" s="302"/>
      <c r="K171" s="559"/>
      <c r="L171" s="551" t="str" cm="1">
        <f t="array" aca="1" ref="L171" ca="1">_xlfn.IFS(A171=2,"",COUNTBLANK(D171:J176)=COUNTIF(Ruimtestaat!D171:J176,"&lt;=0"),BK171/CB171,TRUE,"")</f>
        <v/>
      </c>
      <c r="M171" s="172" t="b">
        <f>IF(_xlfn.XLOOKUP(BB171,Tabel2[Locatiecode],Tabel2[Type locatie],"",0)="vaccin",TRUE,FALSE)</f>
        <v>0</v>
      </c>
      <c r="BB171" s="303" t="str">
        <f>IF(Ruimtestaat!BC171="","",Ruimtestaat!BC171)</f>
        <v>SPB-PMS</v>
      </c>
      <c r="BC171" s="304">
        <f t="shared" si="4"/>
        <v>255</v>
      </c>
      <c r="BD171" s="305">
        <f ca="1">Ruimtestaat!D171*$BC171</f>
        <v>4972.5</v>
      </c>
      <c r="BE171" s="306">
        <f ca="1">Ruimtestaat!E171*$BC171</f>
        <v>0</v>
      </c>
      <c r="BF171" s="306">
        <f ca="1">Ruimtestaat!F171*$BC171</f>
        <v>7879.5</v>
      </c>
      <c r="BG171" s="306">
        <f ca="1">Ruimtestaat!G171*$BC171</f>
        <v>0</v>
      </c>
      <c r="BH171" s="306">
        <f ca="1">Ruimtestaat!H171*$BC171</f>
        <v>357</v>
      </c>
      <c r="BI171" s="307">
        <f ca="1">Ruimtestaat!I171*$BC171</f>
        <v>3595.5</v>
      </c>
      <c r="BJ171" s="308">
        <f ca="1">Ruimtestaat!J171*$BC171</f>
        <v>0</v>
      </c>
      <c r="BK171" s="552">
        <f ca="1">SUM(BD171:BJ176)</f>
        <v>16804.5</v>
      </c>
      <c r="BR171" s="303" t="str">
        <f>IF(Ruimtestaat!BC171="","",Ruimtestaat!BC171)</f>
        <v>SPB-PMS</v>
      </c>
      <c r="BS171" s="304">
        <f t="shared" si="5"/>
        <v>255</v>
      </c>
      <c r="BT171" s="305">
        <f ca="1">IF(BD171&gt;0,IF(ISNUMBER(Schoonmaaknormen!D171),Schoonmaaknormen!BD171/Schoonmaaknormen!D171,0),"")</f>
        <v>0</v>
      </c>
      <c r="BU171" s="306" t="str">
        <f ca="1">IF(BE171&gt;0,IF(ISNUMBER(Schoonmaaknormen!E171),Schoonmaaknormen!BE171/Schoonmaaknormen!E171,0),"")</f>
        <v/>
      </c>
      <c r="BV171" s="306">
        <f ca="1">IF(BF171&gt;0,IF(ISNUMBER(Schoonmaaknormen!F171),Schoonmaaknormen!BF171/Schoonmaaknormen!F171,0),"")</f>
        <v>0</v>
      </c>
      <c r="BW171" s="306" t="str">
        <f ca="1">IF(BG171&gt;0,IF(ISNUMBER(Schoonmaaknormen!G171),Schoonmaaknormen!BG171/Schoonmaaknormen!G171,0),"")</f>
        <v/>
      </c>
      <c r="BX171" s="306">
        <f ca="1">IF(BH171&gt;0,IF(ISNUMBER(Schoonmaaknormen!H171),Schoonmaaknormen!BH171/Schoonmaaknormen!H171,0),"")</f>
        <v>0</v>
      </c>
      <c r="BY171" s="306">
        <f ca="1">IF(BI171&gt;0,IF(ISNUMBER(Schoonmaaknormen!I171),Schoonmaaknormen!BI171/Schoonmaaknormen!I171,0),"")</f>
        <v>0</v>
      </c>
      <c r="BZ171" s="306" t="str">
        <f ca="1">IF(BJ171&gt;0,IF(ISNUMBER(Schoonmaaknormen!J171),Schoonmaaknormen!BJ171/Schoonmaaknormen!J171,0),"")</f>
        <v/>
      </c>
      <c r="CA171" s="547" t="str" cm="1">
        <f t="array" ref="CA171">IF(ISNUMBER(K171),IF(SUM(BT171:BZ176)/LARGE(_xlfn._xlws.FILTER(Ruimtestaat!BD:BD,Ruimtestaat!BC:BC=BR171),1)&lt;K171,K171*LARGE(_xlfn._xlws.FILTER(Ruimtestaat!BD:BD,Ruimtestaat!BC:BC=BR171),1)-SUM(BT171:BZ176),0),"")</f>
        <v/>
      </c>
      <c r="CB171" s="551">
        <f ca="1">SUM(BT171:CA176)</f>
        <v>0</v>
      </c>
    </row>
    <row r="172" spans="1:80" ht="0.2" customHeight="1" x14ac:dyDescent="0.2">
      <c r="A172" s="172">
        <f ca="1">Ruimtestaat!A172</f>
        <v>2</v>
      </c>
      <c r="B172" s="557"/>
      <c r="C172" s="11">
        <v>204</v>
      </c>
      <c r="D172" s="309"/>
      <c r="E172" s="310"/>
      <c r="F172" s="310"/>
      <c r="G172" s="310"/>
      <c r="H172" s="310"/>
      <c r="I172" s="312"/>
      <c r="J172" s="312"/>
      <c r="K172" s="560"/>
      <c r="L172" s="552"/>
      <c r="M172" s="172" t="b">
        <f>IF(_xlfn.XLOOKUP(BB172,Tabel2[Locatiecode],Tabel2[Type locatie],"",0)="vaccin",TRUE,FALSE)</f>
        <v>0</v>
      </c>
      <c r="BB172" s="272" t="str">
        <f>IF(Ruimtestaat!BC172="","",Ruimtestaat!BC172)</f>
        <v>SPB-PMS</v>
      </c>
      <c r="BC172" s="273">
        <f t="shared" si="4"/>
        <v>204</v>
      </c>
      <c r="BD172" s="274">
        <f ca="1">Ruimtestaat!D172*$BC172</f>
        <v>0</v>
      </c>
      <c r="BE172" s="275">
        <f ca="1">Ruimtestaat!E172*$BC172</f>
        <v>0</v>
      </c>
      <c r="BF172" s="275">
        <f ca="1">Ruimtestaat!F172*$BC172</f>
        <v>0</v>
      </c>
      <c r="BG172" s="275">
        <f ca="1">Ruimtestaat!G172*$BC172</f>
        <v>0</v>
      </c>
      <c r="BH172" s="275">
        <f ca="1">Ruimtestaat!H172*$BC172</f>
        <v>0</v>
      </c>
      <c r="BI172" s="276">
        <f ca="1">Ruimtestaat!I172*$BC172</f>
        <v>0</v>
      </c>
      <c r="BJ172" s="277">
        <f ca="1">Ruimtestaat!J172*$BC172</f>
        <v>0</v>
      </c>
      <c r="BK172" s="552"/>
      <c r="BR172" s="272" t="str">
        <f>IF(Ruimtestaat!BC172="","",Ruimtestaat!BC172)</f>
        <v>SPB-PMS</v>
      </c>
      <c r="BS172" s="273">
        <f t="shared" si="5"/>
        <v>204</v>
      </c>
      <c r="BT172" s="274" t="str">
        <f ca="1">IF(BD172&gt;0,IF(ISNUMBER(Schoonmaaknormen!D172),Schoonmaaknormen!BD172/Schoonmaaknormen!D172,0),"")</f>
        <v/>
      </c>
      <c r="BU172" s="275" t="str">
        <f ca="1">IF(BE172&gt;0,IF(ISNUMBER(Schoonmaaknormen!E172),Schoonmaaknormen!BE172/Schoonmaaknormen!E172,0),"")</f>
        <v/>
      </c>
      <c r="BV172" s="275" t="str">
        <f ca="1">IF(BF172&gt;0,IF(ISNUMBER(Schoonmaaknormen!F172),Schoonmaaknormen!BF172/Schoonmaaknormen!F172,0),"")</f>
        <v/>
      </c>
      <c r="BW172" s="275" t="str">
        <f ca="1">IF(BG172&gt;0,IF(ISNUMBER(Schoonmaaknormen!G172),Schoonmaaknormen!BG172/Schoonmaaknormen!G172,0),"")</f>
        <v/>
      </c>
      <c r="BX172" s="275" t="str">
        <f ca="1">IF(BH172&gt;0,IF(ISNUMBER(Schoonmaaknormen!H172),Schoonmaaknormen!BH172/Schoonmaaknormen!H172,0),"")</f>
        <v/>
      </c>
      <c r="BY172" s="275" t="str">
        <f ca="1">IF(BI172&gt;0,IF(ISNUMBER(Schoonmaaknormen!I172),Schoonmaaknormen!BI172/Schoonmaaknormen!I172,0),"")</f>
        <v/>
      </c>
      <c r="BZ172" s="275" t="str">
        <f ca="1">IF(BJ172&gt;0,IF(ISNUMBER(Schoonmaaknormen!J172),Schoonmaaknormen!BJ172/Schoonmaaknormen!J172,0),"")</f>
        <v/>
      </c>
      <c r="CA172" s="548"/>
      <c r="CB172" s="552"/>
    </row>
    <row r="173" spans="1:80" ht="0.2" customHeight="1" x14ac:dyDescent="0.2">
      <c r="A173" s="172">
        <f ca="1">Ruimtestaat!A173</f>
        <v>2</v>
      </c>
      <c r="B173" s="557"/>
      <c r="C173" s="11">
        <v>156</v>
      </c>
      <c r="D173" s="309"/>
      <c r="E173" s="310"/>
      <c r="F173" s="310"/>
      <c r="G173" s="310"/>
      <c r="H173" s="310"/>
      <c r="I173" s="312"/>
      <c r="J173" s="312"/>
      <c r="K173" s="560"/>
      <c r="L173" s="552"/>
      <c r="M173" s="172" t="b">
        <f>IF(_xlfn.XLOOKUP(BB173,Tabel2[Locatiecode],Tabel2[Type locatie],"",0)="vaccin",TRUE,FALSE)</f>
        <v>0</v>
      </c>
      <c r="BB173" s="272" t="str">
        <f>IF(Ruimtestaat!BC173="","",Ruimtestaat!BC173)</f>
        <v>SPB-PMS</v>
      </c>
      <c r="BC173" s="273">
        <f t="shared" si="4"/>
        <v>156</v>
      </c>
      <c r="BD173" s="274">
        <f ca="1">Ruimtestaat!D173*$BC173</f>
        <v>0</v>
      </c>
      <c r="BE173" s="275">
        <f ca="1">Ruimtestaat!E173*$BC173</f>
        <v>0</v>
      </c>
      <c r="BF173" s="275">
        <f ca="1">Ruimtestaat!F173*$BC173</f>
        <v>0</v>
      </c>
      <c r="BG173" s="275">
        <f ca="1">Ruimtestaat!G173*$BC173</f>
        <v>0</v>
      </c>
      <c r="BH173" s="275">
        <f ca="1">Ruimtestaat!H173*$BC173</f>
        <v>0</v>
      </c>
      <c r="BI173" s="276">
        <f ca="1">Ruimtestaat!I173*$BC173</f>
        <v>0</v>
      </c>
      <c r="BJ173" s="277">
        <f ca="1">Ruimtestaat!J173*$BC173</f>
        <v>0</v>
      </c>
      <c r="BK173" s="552"/>
      <c r="BR173" s="272" t="str">
        <f>IF(Ruimtestaat!BC173="","",Ruimtestaat!BC173)</f>
        <v>SPB-PMS</v>
      </c>
      <c r="BS173" s="273">
        <f t="shared" si="5"/>
        <v>156</v>
      </c>
      <c r="BT173" s="274" t="str">
        <f ca="1">IF(BD173&gt;0,IF(ISNUMBER(Schoonmaaknormen!D173),Schoonmaaknormen!BD173/Schoonmaaknormen!D173,0),"")</f>
        <v/>
      </c>
      <c r="BU173" s="275" t="str">
        <f ca="1">IF(BE173&gt;0,IF(ISNUMBER(Schoonmaaknormen!E173),Schoonmaaknormen!BE173/Schoonmaaknormen!E173,0),"")</f>
        <v/>
      </c>
      <c r="BV173" s="275" t="str">
        <f ca="1">IF(BF173&gt;0,IF(ISNUMBER(Schoonmaaknormen!F173),Schoonmaaknormen!BF173/Schoonmaaknormen!F173,0),"")</f>
        <v/>
      </c>
      <c r="BW173" s="275" t="str">
        <f ca="1">IF(BG173&gt;0,IF(ISNUMBER(Schoonmaaknormen!G173),Schoonmaaknormen!BG173/Schoonmaaknormen!G173,0),"")</f>
        <v/>
      </c>
      <c r="BX173" s="275" t="str">
        <f ca="1">IF(BH173&gt;0,IF(ISNUMBER(Schoonmaaknormen!H173),Schoonmaaknormen!BH173/Schoonmaaknormen!H173,0),"")</f>
        <v/>
      </c>
      <c r="BY173" s="275" t="str">
        <f ca="1">IF(BI173&gt;0,IF(ISNUMBER(Schoonmaaknormen!I173),Schoonmaaknormen!BI173/Schoonmaaknormen!I173,0),"")</f>
        <v/>
      </c>
      <c r="BZ173" s="275" t="str">
        <f ca="1">IF(BJ173&gt;0,IF(ISNUMBER(Schoonmaaknormen!J173),Schoonmaaknormen!BJ173/Schoonmaaknormen!J173,0),"")</f>
        <v/>
      </c>
      <c r="CA173" s="548"/>
      <c r="CB173" s="552"/>
    </row>
    <row r="174" spans="1:80" ht="0.2" customHeight="1" x14ac:dyDescent="0.2">
      <c r="A174" s="172">
        <f ca="1">Ruimtestaat!A174</f>
        <v>2</v>
      </c>
      <c r="B174" s="557"/>
      <c r="C174" s="11">
        <v>104</v>
      </c>
      <c r="D174" s="309"/>
      <c r="E174" s="310"/>
      <c r="F174" s="310"/>
      <c r="G174" s="310"/>
      <c r="H174" s="310"/>
      <c r="I174" s="312"/>
      <c r="J174" s="312"/>
      <c r="K174" s="561"/>
      <c r="L174" s="553"/>
      <c r="M174" s="172" t="b">
        <f>IF(_xlfn.XLOOKUP(BB174,Tabel2[Locatiecode],Tabel2[Type locatie],"",0)="vaccin",TRUE,FALSE)</f>
        <v>0</v>
      </c>
      <c r="BB174" s="278" t="str">
        <f>IF(Ruimtestaat!BC174="","",Ruimtestaat!BC174)</f>
        <v>SPB-PMS</v>
      </c>
      <c r="BC174" s="279">
        <f t="shared" si="4"/>
        <v>104</v>
      </c>
      <c r="BD174" s="280">
        <f ca="1">Ruimtestaat!D174*$BC174</f>
        <v>0</v>
      </c>
      <c r="BE174" s="281">
        <f ca="1">Ruimtestaat!E174*$BC174</f>
        <v>0</v>
      </c>
      <c r="BF174" s="281">
        <f ca="1">Ruimtestaat!F174*$BC174</f>
        <v>0</v>
      </c>
      <c r="BG174" s="281">
        <f ca="1">Ruimtestaat!G174*$BC174</f>
        <v>0</v>
      </c>
      <c r="BH174" s="281">
        <f ca="1">Ruimtestaat!H174*$BC174</f>
        <v>0</v>
      </c>
      <c r="BI174" s="282">
        <f ca="1">Ruimtestaat!I174*$BC174</f>
        <v>0</v>
      </c>
      <c r="BJ174" s="283">
        <f ca="1">Ruimtestaat!J174*$BC174</f>
        <v>0</v>
      </c>
      <c r="BK174" s="553"/>
      <c r="BR174" s="278" t="str">
        <f>IF(Ruimtestaat!BC174="","",Ruimtestaat!BC174)</f>
        <v>SPB-PMS</v>
      </c>
      <c r="BS174" s="313">
        <f t="shared" si="5"/>
        <v>104</v>
      </c>
      <c r="BT174" s="280" t="str">
        <f ca="1">IF(BD174&gt;0,IF(ISNUMBER(Schoonmaaknormen!D174),Schoonmaaknormen!BD174/Schoonmaaknormen!D174,0),"")</f>
        <v/>
      </c>
      <c r="BU174" s="314" t="str">
        <f ca="1">IF(BE174&gt;0,IF(ISNUMBER(Schoonmaaknormen!E174),Schoonmaaknormen!BE174/Schoonmaaknormen!E174,0),"")</f>
        <v/>
      </c>
      <c r="BV174" s="314" t="str">
        <f ca="1">IF(BF174&gt;0,IF(ISNUMBER(Schoonmaaknormen!F174),Schoonmaaknormen!BF174/Schoonmaaknormen!F174,0),"")</f>
        <v/>
      </c>
      <c r="BW174" s="314" t="str">
        <f ca="1">IF(BG174&gt;0,IF(ISNUMBER(Schoonmaaknormen!G174),Schoonmaaknormen!BG174/Schoonmaaknormen!G174,0),"")</f>
        <v/>
      </c>
      <c r="BX174" s="314" t="str">
        <f ca="1">IF(BH174&gt;0,IF(ISNUMBER(Schoonmaaknormen!H174),Schoonmaaknormen!BH174/Schoonmaaknormen!H174,0),"")</f>
        <v/>
      </c>
      <c r="BY174" s="314" t="str">
        <f ca="1">IF(BI174&gt;0,IF(ISNUMBER(Schoonmaaknormen!I174),Schoonmaaknormen!BI174/Schoonmaaknormen!I174,0),"")</f>
        <v/>
      </c>
      <c r="BZ174" s="314" t="str">
        <f ca="1">IF(BJ174&gt;0,IF(ISNUMBER(Schoonmaaknormen!J174),Schoonmaaknormen!BJ174/Schoonmaaknormen!J174,0),"")</f>
        <v/>
      </c>
      <c r="CA174" s="549"/>
      <c r="CB174" s="553"/>
    </row>
    <row r="175" spans="1:80" ht="0.2" customHeight="1" x14ac:dyDescent="0.2">
      <c r="A175" s="172">
        <f ca="1">Ruimtestaat!A175</f>
        <v>0</v>
      </c>
      <c r="B175" s="557"/>
      <c r="C175" s="11">
        <v>52</v>
      </c>
      <c r="D175" s="309"/>
      <c r="E175" s="310"/>
      <c r="F175" s="310"/>
      <c r="G175" s="310"/>
      <c r="H175" s="310"/>
      <c r="I175" s="312"/>
      <c r="J175" s="312"/>
      <c r="K175" s="561"/>
      <c r="L175" s="553"/>
      <c r="M175" s="172" t="b">
        <f>IF(_xlfn.XLOOKUP(BB175,Tabel2[Locatiecode],Tabel2[Type locatie],"",0)="vaccin",TRUE,FALSE)</f>
        <v>0</v>
      </c>
      <c r="BB175" s="284" t="str">
        <f>IF(Ruimtestaat!BC175="","",Ruimtestaat!BC175)</f>
        <v>SPB-PMS</v>
      </c>
      <c r="BC175" s="285">
        <f t="shared" si="4"/>
        <v>52</v>
      </c>
      <c r="BD175" s="286">
        <f ca="1">Ruimtestaat!D175*$BC175</f>
        <v>0</v>
      </c>
      <c r="BE175" s="287">
        <f ca="1">Ruimtestaat!E175*$BC175</f>
        <v>0</v>
      </c>
      <c r="BF175" s="287">
        <f ca="1">Ruimtestaat!F175*$BC175</f>
        <v>0</v>
      </c>
      <c r="BG175" s="287">
        <f ca="1">Ruimtestaat!G175*$BC175</f>
        <v>0</v>
      </c>
      <c r="BH175" s="287">
        <f ca="1">Ruimtestaat!H175*$BC175</f>
        <v>0</v>
      </c>
      <c r="BI175" s="288">
        <f ca="1">Ruimtestaat!I175*$BC175</f>
        <v>0</v>
      </c>
      <c r="BJ175" s="289">
        <f ca="1">Ruimtestaat!J175*$BC175</f>
        <v>0</v>
      </c>
      <c r="BK175" s="553"/>
      <c r="BR175" s="284" t="str">
        <f>IF(Ruimtestaat!BC175="","",Ruimtestaat!BC175)</f>
        <v>SPB-PMS</v>
      </c>
      <c r="BS175" s="285">
        <f t="shared" si="5"/>
        <v>52</v>
      </c>
      <c r="BT175" s="286" t="str">
        <f ca="1">IF(BD175&gt;0,IF(ISNUMBER(Schoonmaaknormen!D175),Schoonmaaknormen!BD175/Schoonmaaknormen!D175,0),"")</f>
        <v/>
      </c>
      <c r="BU175" s="287" t="str">
        <f ca="1">IF(BE175&gt;0,IF(ISNUMBER(Schoonmaaknormen!E175),Schoonmaaknormen!BE175/Schoonmaaknormen!E175,0),"")</f>
        <v/>
      </c>
      <c r="BV175" s="287" t="str">
        <f ca="1">IF(BF175&gt;0,IF(ISNUMBER(Schoonmaaknormen!F175),Schoonmaaknormen!BF175/Schoonmaaknormen!F175,0),"")</f>
        <v/>
      </c>
      <c r="BW175" s="287" t="str">
        <f ca="1">IF(BG175&gt;0,IF(ISNUMBER(Schoonmaaknormen!G175),Schoonmaaknormen!BG175/Schoonmaaknormen!G175,0),"")</f>
        <v/>
      </c>
      <c r="BX175" s="287" t="str">
        <f ca="1">IF(BH175&gt;0,IF(ISNUMBER(Schoonmaaknormen!H175),Schoonmaaknormen!BH175/Schoonmaaknormen!H175,0),"")</f>
        <v/>
      </c>
      <c r="BY175" s="287" t="str">
        <f ca="1">IF(BI175&gt;0,IF(ISNUMBER(Schoonmaaknormen!I175),Schoonmaaknormen!BI175/Schoonmaaknormen!I175,0),"")</f>
        <v/>
      </c>
      <c r="BZ175" s="287" t="str">
        <f ca="1">IF(BJ175&gt;0,IF(ISNUMBER(Schoonmaaknormen!J175),Schoonmaaknormen!BJ175/Schoonmaaknormen!J175,0),"")</f>
        <v/>
      </c>
      <c r="CA175" s="549"/>
      <c r="CB175" s="553"/>
    </row>
    <row r="176" spans="1:80" ht="0.2" customHeight="1" x14ac:dyDescent="0.2">
      <c r="A176" s="172">
        <f ca="1">Ruimtestaat!A176</f>
        <v>2</v>
      </c>
      <c r="B176" s="558"/>
      <c r="C176" s="290">
        <v>4</v>
      </c>
      <c r="D176" s="186"/>
      <c r="E176" s="187"/>
      <c r="F176" s="187"/>
      <c r="G176" s="187"/>
      <c r="H176" s="187"/>
      <c r="I176" s="189"/>
      <c r="J176" s="189"/>
      <c r="K176" s="562"/>
      <c r="L176" s="554"/>
      <c r="M176" s="172" t="b">
        <f>IF(_xlfn.XLOOKUP(BB176,Tabel2[Locatiecode],Tabel2[Type locatie],"",0)="vaccin",TRUE,FALSE)</f>
        <v>0</v>
      </c>
      <c r="BB176" s="291" t="str">
        <f>IF(Ruimtestaat!BC176="","",Ruimtestaat!BC176)</f>
        <v>SPB-PMS</v>
      </c>
      <c r="BC176" s="292">
        <f t="shared" si="4"/>
        <v>4</v>
      </c>
      <c r="BD176" s="293">
        <f ca="1">Ruimtestaat!D176*$BC176</f>
        <v>0</v>
      </c>
      <c r="BE176" s="294">
        <f ca="1">Ruimtestaat!E176*$BC176</f>
        <v>0</v>
      </c>
      <c r="BF176" s="294">
        <f ca="1">Ruimtestaat!F176*$BC176</f>
        <v>0</v>
      </c>
      <c r="BG176" s="294">
        <f ca="1">Ruimtestaat!G176*$BC176</f>
        <v>0</v>
      </c>
      <c r="BH176" s="294">
        <f ca="1">Ruimtestaat!H176*$BC176</f>
        <v>0</v>
      </c>
      <c r="BI176" s="295">
        <f ca="1">Ruimtestaat!I176*$BC176</f>
        <v>0</v>
      </c>
      <c r="BJ176" s="296">
        <f ca="1">Ruimtestaat!J176*$BC176</f>
        <v>0</v>
      </c>
      <c r="BK176" s="554"/>
      <c r="BR176" s="291" t="str">
        <f>IF(Ruimtestaat!BC176="","",Ruimtestaat!BC176)</f>
        <v>SPB-PMS</v>
      </c>
      <c r="BS176" s="292">
        <f t="shared" si="5"/>
        <v>4</v>
      </c>
      <c r="BT176" s="293" t="str">
        <f ca="1">IF(BD176&gt;0,IF(ISNUMBER(Schoonmaaknormen!D176),Schoonmaaknormen!BD176/Schoonmaaknormen!D176,0),"")</f>
        <v/>
      </c>
      <c r="BU176" s="294" t="str">
        <f ca="1">IF(BE176&gt;0,IF(ISNUMBER(Schoonmaaknormen!E176),Schoonmaaknormen!BE176/Schoonmaaknormen!E176,0),"")</f>
        <v/>
      </c>
      <c r="BV176" s="294" t="str">
        <f ca="1">IF(BF176&gt;0,IF(ISNUMBER(Schoonmaaknormen!F176),Schoonmaaknormen!BF176/Schoonmaaknormen!F176,0),"")</f>
        <v/>
      </c>
      <c r="BW176" s="294" t="str">
        <f ca="1">IF(BG176&gt;0,IF(ISNUMBER(Schoonmaaknormen!G176),Schoonmaaknormen!BG176/Schoonmaaknormen!G176,0),"")</f>
        <v/>
      </c>
      <c r="BX176" s="294" t="str">
        <f ca="1">IF(BH176&gt;0,IF(ISNUMBER(Schoonmaaknormen!H176),Schoonmaaknormen!BH176/Schoonmaaknormen!H176,0),"")</f>
        <v/>
      </c>
      <c r="BY176" s="294" t="str">
        <f ca="1">IF(BI176&gt;0,IF(ISNUMBER(Schoonmaaknormen!I176),Schoonmaaknormen!BI176/Schoonmaaknormen!I176,0),"")</f>
        <v/>
      </c>
      <c r="BZ176" s="294" t="str">
        <f ca="1">IF(BJ176&gt;0,IF(ISNUMBER(Schoonmaaknormen!J176),Schoonmaaknormen!BJ176/Schoonmaaknormen!J176,0),"")</f>
        <v/>
      </c>
      <c r="CA176" s="555"/>
      <c r="CB176" s="554"/>
    </row>
    <row r="177" spans="1:80" ht="15" customHeight="1" x14ac:dyDescent="0.2">
      <c r="A177" s="172">
        <f ca="1">Ruimtestaat!A177</f>
        <v>1</v>
      </c>
      <c r="B177" s="556" t="str">
        <f>BB177</f>
        <v>VHU-TWV</v>
      </c>
      <c r="C177" s="298">
        <v>255</v>
      </c>
      <c r="D177" s="299"/>
      <c r="E177" s="300"/>
      <c r="F177" s="300"/>
      <c r="G177" s="300"/>
      <c r="H177" s="300"/>
      <c r="I177" s="302"/>
      <c r="J177" s="302"/>
      <c r="K177" s="559"/>
      <c r="L177" s="551" t="str" cm="1">
        <f t="array" aca="1" ref="L177" ca="1">_xlfn.IFS(A177=2,"",COUNTBLANK(D177:J182)=COUNTIF(Ruimtestaat!D177:J182,"&lt;=0"),BK177/CB177,TRUE,"")</f>
        <v/>
      </c>
      <c r="M177" s="172" t="b">
        <f>IF(_xlfn.XLOOKUP(BB177,Tabel2[Locatiecode],Tabel2[Type locatie],"",0)="vaccin",TRUE,FALSE)</f>
        <v>0</v>
      </c>
      <c r="BB177" s="303" t="str">
        <f>IF(Ruimtestaat!BC177="","",Ruimtestaat!BC177)</f>
        <v>VHU-TWV</v>
      </c>
      <c r="BC177" s="304">
        <f t="shared" si="4"/>
        <v>255</v>
      </c>
      <c r="BD177" s="305">
        <f ca="1">Ruimtestaat!D177*$BC177</f>
        <v>9231</v>
      </c>
      <c r="BE177" s="306">
        <f ca="1">Ruimtestaat!E177*$BC177</f>
        <v>0</v>
      </c>
      <c r="BF177" s="306">
        <f ca="1">Ruimtestaat!F177*$BC177</f>
        <v>8899.5</v>
      </c>
      <c r="BG177" s="306">
        <f ca="1">Ruimtestaat!G177*$BC177</f>
        <v>0</v>
      </c>
      <c r="BH177" s="306">
        <f ca="1">Ruimtestaat!H177*$BC177</f>
        <v>0</v>
      </c>
      <c r="BI177" s="307">
        <f ca="1">Ruimtestaat!I177*$BC177</f>
        <v>0</v>
      </c>
      <c r="BJ177" s="308">
        <f ca="1">Ruimtestaat!J177*$BC177</f>
        <v>0</v>
      </c>
      <c r="BK177" s="552">
        <f ca="1">SUM(BD177:BJ182)</f>
        <v>18130.5</v>
      </c>
      <c r="BR177" s="303" t="str">
        <f>IF(Ruimtestaat!BC177="","",Ruimtestaat!BC177)</f>
        <v>VHU-TWV</v>
      </c>
      <c r="BS177" s="304">
        <f t="shared" si="5"/>
        <v>255</v>
      </c>
      <c r="BT177" s="305">
        <f ca="1">IF(BD177&gt;0,IF(ISNUMBER(Schoonmaaknormen!D177),Schoonmaaknormen!BD177/Schoonmaaknormen!D177,0),"")</f>
        <v>0</v>
      </c>
      <c r="BU177" s="306" t="str">
        <f ca="1">IF(BE177&gt;0,IF(ISNUMBER(Schoonmaaknormen!E177),Schoonmaaknormen!BE177/Schoonmaaknormen!E177,0),"")</f>
        <v/>
      </c>
      <c r="BV177" s="306">
        <f ca="1">IF(BF177&gt;0,IF(ISNUMBER(Schoonmaaknormen!F177),Schoonmaaknormen!BF177/Schoonmaaknormen!F177,0),"")</f>
        <v>0</v>
      </c>
      <c r="BW177" s="306" t="str">
        <f ca="1">IF(BG177&gt;0,IF(ISNUMBER(Schoonmaaknormen!G177),Schoonmaaknormen!BG177/Schoonmaaknormen!G177,0),"")</f>
        <v/>
      </c>
      <c r="BX177" s="306" t="str">
        <f ca="1">IF(BH177&gt;0,IF(ISNUMBER(Schoonmaaknormen!H177),Schoonmaaknormen!BH177/Schoonmaaknormen!H177,0),"")</f>
        <v/>
      </c>
      <c r="BY177" s="306" t="str">
        <f ca="1">IF(BI177&gt;0,IF(ISNUMBER(Schoonmaaknormen!I177),Schoonmaaknormen!BI177/Schoonmaaknormen!I177,0),"")</f>
        <v/>
      </c>
      <c r="BZ177" s="306" t="str">
        <f ca="1">IF(BJ177&gt;0,IF(ISNUMBER(Schoonmaaknormen!J177),Schoonmaaknormen!BJ177/Schoonmaaknormen!J177,0),"")</f>
        <v/>
      </c>
      <c r="CA177" s="547" t="str" cm="1">
        <f t="array" ref="CA177">IF(ISNUMBER(K177),IF(SUM(BT177:BZ182)/LARGE(_xlfn._xlws.FILTER(Ruimtestaat!BD:BD,Ruimtestaat!BC:BC=BR177),1)&lt;K177,K177*LARGE(_xlfn._xlws.FILTER(Ruimtestaat!BD:BD,Ruimtestaat!BC:BC=BR177),1)-SUM(BT177:BZ182),0),"")</f>
        <v/>
      </c>
      <c r="CB177" s="551">
        <f ca="1">SUM(BT177:CA182)</f>
        <v>0</v>
      </c>
    </row>
    <row r="178" spans="1:80" ht="0.2" customHeight="1" x14ac:dyDescent="0.2">
      <c r="A178" s="172">
        <f ca="1">Ruimtestaat!A178</f>
        <v>2</v>
      </c>
      <c r="B178" s="557"/>
      <c r="C178" s="11">
        <v>204</v>
      </c>
      <c r="D178" s="309"/>
      <c r="E178" s="310"/>
      <c r="F178" s="310"/>
      <c r="G178" s="310"/>
      <c r="H178" s="310"/>
      <c r="I178" s="312"/>
      <c r="J178" s="312"/>
      <c r="K178" s="560"/>
      <c r="L178" s="552"/>
      <c r="M178" s="172" t="b">
        <f>IF(_xlfn.XLOOKUP(BB178,Tabel2[Locatiecode],Tabel2[Type locatie],"",0)="vaccin",TRUE,FALSE)</f>
        <v>0</v>
      </c>
      <c r="BB178" s="272" t="str">
        <f>IF(Ruimtestaat!BC178="","",Ruimtestaat!BC178)</f>
        <v>VHU-TWV</v>
      </c>
      <c r="BC178" s="273">
        <f t="shared" si="4"/>
        <v>204</v>
      </c>
      <c r="BD178" s="274">
        <f ca="1">Ruimtestaat!D178*$BC178</f>
        <v>0</v>
      </c>
      <c r="BE178" s="275">
        <f ca="1">Ruimtestaat!E178*$BC178</f>
        <v>0</v>
      </c>
      <c r="BF178" s="275">
        <f ca="1">Ruimtestaat!F178*$BC178</f>
        <v>0</v>
      </c>
      <c r="BG178" s="275">
        <f ca="1">Ruimtestaat!G178*$BC178</f>
        <v>0</v>
      </c>
      <c r="BH178" s="275">
        <f ca="1">Ruimtestaat!H178*$BC178</f>
        <v>0</v>
      </c>
      <c r="BI178" s="276">
        <f ca="1">Ruimtestaat!I178*$BC178</f>
        <v>0</v>
      </c>
      <c r="BJ178" s="277">
        <f ca="1">Ruimtestaat!J178*$BC178</f>
        <v>0</v>
      </c>
      <c r="BK178" s="552"/>
      <c r="BR178" s="272" t="str">
        <f>IF(Ruimtestaat!BC178="","",Ruimtestaat!BC178)</f>
        <v>VHU-TWV</v>
      </c>
      <c r="BS178" s="273">
        <f t="shared" si="5"/>
        <v>204</v>
      </c>
      <c r="BT178" s="274" t="str">
        <f ca="1">IF(BD178&gt;0,IF(ISNUMBER(Schoonmaaknormen!D178),Schoonmaaknormen!BD178/Schoonmaaknormen!D178,0),"")</f>
        <v/>
      </c>
      <c r="BU178" s="275" t="str">
        <f ca="1">IF(BE178&gt;0,IF(ISNUMBER(Schoonmaaknormen!E178),Schoonmaaknormen!BE178/Schoonmaaknormen!E178,0),"")</f>
        <v/>
      </c>
      <c r="BV178" s="275" t="str">
        <f ca="1">IF(BF178&gt;0,IF(ISNUMBER(Schoonmaaknormen!F178),Schoonmaaknormen!BF178/Schoonmaaknormen!F178,0),"")</f>
        <v/>
      </c>
      <c r="BW178" s="275" t="str">
        <f ca="1">IF(BG178&gt;0,IF(ISNUMBER(Schoonmaaknormen!G178),Schoonmaaknormen!BG178/Schoonmaaknormen!G178,0),"")</f>
        <v/>
      </c>
      <c r="BX178" s="275" t="str">
        <f ca="1">IF(BH178&gt;0,IF(ISNUMBER(Schoonmaaknormen!H178),Schoonmaaknormen!BH178/Schoonmaaknormen!H178,0),"")</f>
        <v/>
      </c>
      <c r="BY178" s="276" t="str">
        <f ca="1">IF(BI178&gt;0,IF(ISNUMBER(Schoonmaaknormen!I178),Schoonmaaknormen!BI178/Schoonmaaknormen!I178,0),"")</f>
        <v/>
      </c>
      <c r="BZ178" s="276" t="str">
        <f ca="1">IF(BJ178&gt;0,IF(ISNUMBER(Schoonmaaknormen!J178),Schoonmaaknormen!BJ178/Schoonmaaknormen!J178,0),"")</f>
        <v/>
      </c>
      <c r="CA178" s="548"/>
      <c r="CB178" s="552"/>
    </row>
    <row r="179" spans="1:80" ht="0.2" customHeight="1" x14ac:dyDescent="0.2">
      <c r="A179" s="172">
        <f ca="1">Ruimtestaat!A179</f>
        <v>2</v>
      </c>
      <c r="B179" s="557"/>
      <c r="C179" s="11">
        <v>156</v>
      </c>
      <c r="D179" s="309"/>
      <c r="E179" s="310"/>
      <c r="F179" s="310"/>
      <c r="G179" s="310"/>
      <c r="H179" s="310"/>
      <c r="I179" s="312"/>
      <c r="J179" s="312"/>
      <c r="K179" s="560"/>
      <c r="L179" s="552"/>
      <c r="M179" s="172" t="b">
        <f>IF(_xlfn.XLOOKUP(BB179,Tabel2[Locatiecode],Tabel2[Type locatie],"",0)="vaccin",TRUE,FALSE)</f>
        <v>0</v>
      </c>
      <c r="BB179" s="272" t="str">
        <f>IF(Ruimtestaat!BC179="","",Ruimtestaat!BC179)</f>
        <v>VHU-TWV</v>
      </c>
      <c r="BC179" s="273">
        <f t="shared" si="4"/>
        <v>156</v>
      </c>
      <c r="BD179" s="274">
        <f ca="1">Ruimtestaat!D179*$BC179</f>
        <v>0</v>
      </c>
      <c r="BE179" s="275">
        <f ca="1">Ruimtestaat!E179*$BC179</f>
        <v>0</v>
      </c>
      <c r="BF179" s="275">
        <f ca="1">Ruimtestaat!F179*$BC179</f>
        <v>0</v>
      </c>
      <c r="BG179" s="275">
        <f ca="1">Ruimtestaat!G179*$BC179</f>
        <v>0</v>
      </c>
      <c r="BH179" s="275">
        <f ca="1">Ruimtestaat!H179*$BC179</f>
        <v>0</v>
      </c>
      <c r="BI179" s="276">
        <f ca="1">Ruimtestaat!I179*$BC179</f>
        <v>0</v>
      </c>
      <c r="BJ179" s="277">
        <f ca="1">Ruimtestaat!J179*$BC179</f>
        <v>0</v>
      </c>
      <c r="BK179" s="552"/>
      <c r="BR179" s="272" t="str">
        <f>IF(Ruimtestaat!BC179="","",Ruimtestaat!BC179)</f>
        <v>VHU-TWV</v>
      </c>
      <c r="BS179" s="273">
        <f t="shared" si="5"/>
        <v>156</v>
      </c>
      <c r="BT179" s="274" t="str">
        <f ca="1">IF(BD179&gt;0,IF(ISNUMBER(Schoonmaaknormen!D179),Schoonmaaknormen!BD179/Schoonmaaknormen!D179,0),"")</f>
        <v/>
      </c>
      <c r="BU179" s="275" t="str">
        <f ca="1">IF(BE179&gt;0,IF(ISNUMBER(Schoonmaaknormen!E179),Schoonmaaknormen!BE179/Schoonmaaknormen!E179,0),"")</f>
        <v/>
      </c>
      <c r="BV179" s="275" t="str">
        <f ca="1">IF(BF179&gt;0,IF(ISNUMBER(Schoonmaaknormen!F179),Schoonmaaknormen!BF179/Schoonmaaknormen!F179,0),"")</f>
        <v/>
      </c>
      <c r="BW179" s="275" t="str">
        <f ca="1">IF(BG179&gt;0,IF(ISNUMBER(Schoonmaaknormen!G179),Schoonmaaknormen!BG179/Schoonmaaknormen!G179,0),"")</f>
        <v/>
      </c>
      <c r="BX179" s="275" t="str">
        <f ca="1">IF(BH179&gt;0,IF(ISNUMBER(Schoonmaaknormen!H179),Schoonmaaknormen!BH179/Schoonmaaknormen!H179,0),"")</f>
        <v/>
      </c>
      <c r="BY179" s="276" t="str">
        <f ca="1">IF(BI179&gt;0,IF(ISNUMBER(Schoonmaaknormen!I179),Schoonmaaknormen!BI179/Schoonmaaknormen!I179,0),"")</f>
        <v/>
      </c>
      <c r="BZ179" s="276" t="str">
        <f ca="1">IF(BJ179&gt;0,IF(ISNUMBER(Schoonmaaknormen!J179),Schoonmaaknormen!BJ179/Schoonmaaknormen!J179,0),"")</f>
        <v/>
      </c>
      <c r="CA179" s="548"/>
      <c r="CB179" s="552"/>
    </row>
    <row r="180" spans="1:80" ht="0.2" customHeight="1" x14ac:dyDescent="0.2">
      <c r="A180" s="172">
        <f ca="1">Ruimtestaat!A180</f>
        <v>2</v>
      </c>
      <c r="B180" s="557"/>
      <c r="C180" s="11">
        <v>104</v>
      </c>
      <c r="D180" s="309"/>
      <c r="E180" s="310"/>
      <c r="F180" s="310"/>
      <c r="G180" s="310"/>
      <c r="H180" s="310"/>
      <c r="I180" s="312"/>
      <c r="J180" s="312"/>
      <c r="K180" s="561"/>
      <c r="L180" s="553"/>
      <c r="M180" s="172" t="b">
        <f>IF(_xlfn.XLOOKUP(BB180,Tabel2[Locatiecode],Tabel2[Type locatie],"",0)="vaccin",TRUE,FALSE)</f>
        <v>0</v>
      </c>
      <c r="BB180" s="278" t="str">
        <f>IF(Ruimtestaat!BC180="","",Ruimtestaat!BC180)</f>
        <v>VHU-TWV</v>
      </c>
      <c r="BC180" s="279">
        <f t="shared" si="4"/>
        <v>104</v>
      </c>
      <c r="BD180" s="280">
        <f ca="1">Ruimtestaat!D180*$BC180</f>
        <v>0</v>
      </c>
      <c r="BE180" s="281">
        <f ca="1">Ruimtestaat!E180*$BC180</f>
        <v>0</v>
      </c>
      <c r="BF180" s="281">
        <f ca="1">Ruimtestaat!F180*$BC180</f>
        <v>0</v>
      </c>
      <c r="BG180" s="281">
        <f ca="1">Ruimtestaat!G180*$BC180</f>
        <v>0</v>
      </c>
      <c r="BH180" s="281">
        <f ca="1">Ruimtestaat!H180*$BC180</f>
        <v>0</v>
      </c>
      <c r="BI180" s="282">
        <f ca="1">Ruimtestaat!I180*$BC180</f>
        <v>0</v>
      </c>
      <c r="BJ180" s="283">
        <f ca="1">Ruimtestaat!J180*$BC180</f>
        <v>0</v>
      </c>
      <c r="BK180" s="553"/>
      <c r="BR180" s="278" t="str">
        <f>IF(Ruimtestaat!BC180="","",Ruimtestaat!BC180)</f>
        <v>VHU-TWV</v>
      </c>
      <c r="BS180" s="313">
        <f t="shared" si="5"/>
        <v>104</v>
      </c>
      <c r="BT180" s="280" t="str">
        <f ca="1">IF(BD180&gt;0,IF(ISNUMBER(Schoonmaaknormen!D180),Schoonmaaknormen!BD180/Schoonmaaknormen!D180,0),"")</f>
        <v/>
      </c>
      <c r="BU180" s="314" t="str">
        <f ca="1">IF(BE180&gt;0,IF(ISNUMBER(Schoonmaaknormen!E180),Schoonmaaknormen!BE180/Schoonmaaknormen!E180,0),"")</f>
        <v/>
      </c>
      <c r="BV180" s="314" t="str">
        <f ca="1">IF(BF180&gt;0,IF(ISNUMBER(Schoonmaaknormen!F180),Schoonmaaknormen!BF180/Schoonmaaknormen!F180,0),"")</f>
        <v/>
      </c>
      <c r="BW180" s="314" t="str">
        <f ca="1">IF(BG180&gt;0,IF(ISNUMBER(Schoonmaaknormen!G180),Schoonmaaknormen!BG180/Schoonmaaknormen!G180,0),"")</f>
        <v/>
      </c>
      <c r="BX180" s="314" t="str">
        <f ca="1">IF(BH180&gt;0,IF(ISNUMBER(Schoonmaaknormen!H180),Schoonmaaknormen!BH180/Schoonmaaknormen!H180,0),"")</f>
        <v/>
      </c>
      <c r="BY180" s="282" t="str">
        <f ca="1">IF(BI180&gt;0,IF(ISNUMBER(Schoonmaaknormen!I180),Schoonmaaknormen!BI180/Schoonmaaknormen!I180,0),"")</f>
        <v/>
      </c>
      <c r="BZ180" s="282" t="str">
        <f ca="1">IF(BJ180&gt;0,IF(ISNUMBER(Schoonmaaknormen!J180),Schoonmaaknormen!BJ180/Schoonmaaknormen!J180,0),"")</f>
        <v/>
      </c>
      <c r="CA180" s="549"/>
      <c r="CB180" s="553"/>
    </row>
    <row r="181" spans="1:80" ht="0.2" customHeight="1" x14ac:dyDescent="0.2">
      <c r="A181" s="172">
        <f ca="1">Ruimtestaat!A181</f>
        <v>0</v>
      </c>
      <c r="B181" s="557"/>
      <c r="C181" s="11">
        <v>52</v>
      </c>
      <c r="D181" s="309"/>
      <c r="E181" s="310"/>
      <c r="F181" s="310"/>
      <c r="G181" s="310"/>
      <c r="H181" s="310"/>
      <c r="I181" s="312"/>
      <c r="J181" s="312"/>
      <c r="K181" s="561"/>
      <c r="L181" s="553"/>
      <c r="M181" s="172" t="b">
        <f>IF(_xlfn.XLOOKUP(BB181,Tabel2[Locatiecode],Tabel2[Type locatie],"",0)="vaccin",TRUE,FALSE)</f>
        <v>0</v>
      </c>
      <c r="BB181" s="284" t="str">
        <f>IF(Ruimtestaat!BC181="","",Ruimtestaat!BC181)</f>
        <v>VHU-TWV</v>
      </c>
      <c r="BC181" s="285">
        <f t="shared" si="4"/>
        <v>52</v>
      </c>
      <c r="BD181" s="286">
        <f ca="1">Ruimtestaat!D181*$BC181</f>
        <v>0</v>
      </c>
      <c r="BE181" s="287">
        <f ca="1">Ruimtestaat!E181*$BC181</f>
        <v>0</v>
      </c>
      <c r="BF181" s="287">
        <f ca="1">Ruimtestaat!F181*$BC181</f>
        <v>0</v>
      </c>
      <c r="BG181" s="287">
        <f ca="1">Ruimtestaat!G181*$BC181</f>
        <v>0</v>
      </c>
      <c r="BH181" s="287">
        <f ca="1">Ruimtestaat!H181*$BC181</f>
        <v>0</v>
      </c>
      <c r="BI181" s="288">
        <f ca="1">Ruimtestaat!I181*$BC181</f>
        <v>0</v>
      </c>
      <c r="BJ181" s="289">
        <f ca="1">Ruimtestaat!J181*$BC181</f>
        <v>0</v>
      </c>
      <c r="BK181" s="553"/>
      <c r="BR181" s="284" t="str">
        <f>IF(Ruimtestaat!BC181="","",Ruimtestaat!BC181)</f>
        <v>VHU-TWV</v>
      </c>
      <c r="BS181" s="285">
        <f t="shared" si="5"/>
        <v>52</v>
      </c>
      <c r="BT181" s="286" t="str">
        <f ca="1">IF(BD181&gt;0,IF(ISNUMBER(Schoonmaaknormen!D181),Schoonmaaknormen!BD181/Schoonmaaknormen!D181,0),"")</f>
        <v/>
      </c>
      <c r="BU181" s="287" t="str">
        <f ca="1">IF(BE181&gt;0,IF(ISNUMBER(Schoonmaaknormen!E181),Schoonmaaknormen!BE181/Schoonmaaknormen!E181,0),"")</f>
        <v/>
      </c>
      <c r="BV181" s="287" t="str">
        <f ca="1">IF(BF181&gt;0,IF(ISNUMBER(Schoonmaaknormen!F181),Schoonmaaknormen!BF181/Schoonmaaknormen!F181,0),"")</f>
        <v/>
      </c>
      <c r="BW181" s="287" t="str">
        <f ca="1">IF(BG181&gt;0,IF(ISNUMBER(Schoonmaaknormen!G181),Schoonmaaknormen!BG181/Schoonmaaknormen!G181,0),"")</f>
        <v/>
      </c>
      <c r="BX181" s="287" t="str">
        <f ca="1">IF(BH181&gt;0,IF(ISNUMBER(Schoonmaaknormen!H181),Schoonmaaknormen!BH181/Schoonmaaknormen!H181,0),"")</f>
        <v/>
      </c>
      <c r="BY181" s="288" t="str">
        <f ca="1">IF(BI181&gt;0,IF(ISNUMBER(Schoonmaaknormen!I181),Schoonmaaknormen!BI181/Schoonmaaknormen!I181,0),"")</f>
        <v/>
      </c>
      <c r="BZ181" s="288" t="str">
        <f ca="1">IF(BJ181&gt;0,IF(ISNUMBER(Schoonmaaknormen!J181),Schoonmaaknormen!BJ181/Schoonmaaknormen!J181,0),"")</f>
        <v/>
      </c>
      <c r="CA181" s="549"/>
      <c r="CB181" s="553"/>
    </row>
    <row r="182" spans="1:80" ht="0.2" customHeight="1" x14ac:dyDescent="0.2">
      <c r="A182" s="172">
        <f ca="1">Ruimtestaat!A182</f>
        <v>2</v>
      </c>
      <c r="B182" s="558"/>
      <c r="C182" s="290">
        <v>4</v>
      </c>
      <c r="D182" s="186"/>
      <c r="E182" s="187"/>
      <c r="F182" s="187"/>
      <c r="G182" s="187"/>
      <c r="H182" s="187"/>
      <c r="I182" s="189"/>
      <c r="J182" s="189"/>
      <c r="K182" s="562"/>
      <c r="L182" s="554"/>
      <c r="M182" s="172" t="b">
        <f>IF(_xlfn.XLOOKUP(BB182,Tabel2[Locatiecode],Tabel2[Type locatie],"",0)="vaccin",TRUE,FALSE)</f>
        <v>0</v>
      </c>
      <c r="BB182" s="291" t="str">
        <f>IF(Ruimtestaat!BC182="","",Ruimtestaat!BC182)</f>
        <v>VHU-TWV</v>
      </c>
      <c r="BC182" s="292">
        <f t="shared" si="4"/>
        <v>4</v>
      </c>
      <c r="BD182" s="293">
        <f ca="1">Ruimtestaat!D182*$BC182</f>
        <v>0</v>
      </c>
      <c r="BE182" s="294">
        <f ca="1">Ruimtestaat!E182*$BC182</f>
        <v>0</v>
      </c>
      <c r="BF182" s="294">
        <f ca="1">Ruimtestaat!F182*$BC182</f>
        <v>0</v>
      </c>
      <c r="BG182" s="294">
        <f ca="1">Ruimtestaat!G182*$BC182</f>
        <v>0</v>
      </c>
      <c r="BH182" s="294">
        <f ca="1">Ruimtestaat!H182*$BC182</f>
        <v>0</v>
      </c>
      <c r="BI182" s="295">
        <f ca="1">Ruimtestaat!I182*$BC182</f>
        <v>0</v>
      </c>
      <c r="BJ182" s="296">
        <f ca="1">Ruimtestaat!J182*$BC182</f>
        <v>0</v>
      </c>
      <c r="BK182" s="554"/>
      <c r="BR182" s="291" t="str">
        <f>IF(Ruimtestaat!BC182="","",Ruimtestaat!BC182)</f>
        <v>VHU-TWV</v>
      </c>
      <c r="BS182" s="292">
        <f t="shared" si="5"/>
        <v>4</v>
      </c>
      <c r="BT182" s="293" t="str">
        <f ca="1">IF(BD182&gt;0,IF(ISNUMBER(Schoonmaaknormen!D182),Schoonmaaknormen!BD182/Schoonmaaknormen!D182,0),"")</f>
        <v/>
      </c>
      <c r="BU182" s="294" t="str">
        <f ca="1">IF(BE182&gt;0,IF(ISNUMBER(Schoonmaaknormen!E182),Schoonmaaknormen!BE182/Schoonmaaknormen!E182,0),"")</f>
        <v/>
      </c>
      <c r="BV182" s="294" t="str">
        <f ca="1">IF(BF182&gt;0,IF(ISNUMBER(Schoonmaaknormen!F182),Schoonmaaknormen!BF182/Schoonmaaknormen!F182,0),"")</f>
        <v/>
      </c>
      <c r="BW182" s="294" t="str">
        <f ca="1">IF(BG182&gt;0,IF(ISNUMBER(Schoonmaaknormen!G182),Schoonmaaknormen!BG182/Schoonmaaknormen!G182,0),"")</f>
        <v/>
      </c>
      <c r="BX182" s="294" t="str">
        <f ca="1">IF(BH182&gt;0,IF(ISNUMBER(Schoonmaaknormen!H182),Schoonmaaknormen!BH182/Schoonmaaknormen!H182,0),"")</f>
        <v/>
      </c>
      <c r="BY182" s="295" t="str">
        <f ca="1">IF(BI182&gt;0,IF(ISNUMBER(Schoonmaaknormen!I182),Schoonmaaknormen!BI182/Schoonmaaknormen!I182,0),"")</f>
        <v/>
      </c>
      <c r="BZ182" s="295" t="str">
        <f ca="1">IF(BJ182&gt;0,IF(ISNUMBER(Schoonmaaknormen!J182),Schoonmaaknormen!BJ182/Schoonmaaknormen!J182,0),"")</f>
        <v/>
      </c>
      <c r="CA182" s="555"/>
      <c r="CB182" s="554"/>
    </row>
    <row r="183" spans="1:80" ht="15" customHeight="1" x14ac:dyDescent="0.2">
      <c r="A183" s="172">
        <f ca="1">Ruimtestaat!A183</f>
        <v>1</v>
      </c>
      <c r="B183" s="556" t="str">
        <f>BB183</f>
        <v>WGN-CFL</v>
      </c>
      <c r="C183" s="298">
        <v>255</v>
      </c>
      <c r="D183" s="299"/>
      <c r="E183" s="300"/>
      <c r="F183" s="300"/>
      <c r="G183" s="300"/>
      <c r="H183" s="300"/>
      <c r="I183" s="302"/>
      <c r="J183" s="302"/>
      <c r="K183" s="559"/>
      <c r="L183" s="551" t="str" cm="1">
        <f t="array" aca="1" ref="L183" ca="1">_xlfn.IFS(A183=2,"",COUNTBLANK(D183:J188)=COUNTIF(Ruimtestaat!D183:J188,"&lt;=0"),BK183/CB183,TRUE,"")</f>
        <v/>
      </c>
      <c r="M183" s="172" t="b">
        <f>IF(_xlfn.XLOOKUP(BB183,Tabel2[Locatiecode],Tabel2[Type locatie],"",0)="vaccin",TRUE,FALSE)</f>
        <v>0</v>
      </c>
      <c r="BB183" s="303" t="str">
        <f>IF(Ruimtestaat!BC183="","",Ruimtestaat!BC183)</f>
        <v>WGN-CFL</v>
      </c>
      <c r="BC183" s="304">
        <f t="shared" si="4"/>
        <v>255</v>
      </c>
      <c r="BD183" s="305">
        <f ca="1">Ruimtestaat!D183*$BC183</f>
        <v>13770</v>
      </c>
      <c r="BE183" s="306">
        <f ca="1">Ruimtestaat!E183*$BC183</f>
        <v>7675.4999999999991</v>
      </c>
      <c r="BF183" s="306">
        <f ca="1">Ruimtestaat!F183*$BC183</f>
        <v>9078</v>
      </c>
      <c r="BG183" s="306">
        <f ca="1">Ruimtestaat!G183*$BC183</f>
        <v>0</v>
      </c>
      <c r="BH183" s="306">
        <f ca="1">Ruimtestaat!H183*$BC183</f>
        <v>382.5</v>
      </c>
      <c r="BI183" s="307">
        <f ca="1">Ruimtestaat!I183*$BC183</f>
        <v>0</v>
      </c>
      <c r="BJ183" s="308">
        <f ca="1">Ruimtestaat!J183*$BC183</f>
        <v>0</v>
      </c>
      <c r="BK183" s="552">
        <f ca="1">SUM(BD183:BJ188)</f>
        <v>30906</v>
      </c>
      <c r="BR183" s="303" t="str">
        <f>IF(Ruimtestaat!BC183="","",Ruimtestaat!BC183)</f>
        <v>WGN-CFL</v>
      </c>
      <c r="BS183" s="304">
        <f t="shared" si="5"/>
        <v>255</v>
      </c>
      <c r="BT183" s="305">
        <f ca="1">IF(BD183&gt;0,IF(ISNUMBER(Schoonmaaknormen!D183),Schoonmaaknormen!BD183/Schoonmaaknormen!D183,0),"")</f>
        <v>0</v>
      </c>
      <c r="BU183" s="306">
        <f ca="1">IF(BE183&gt;0,IF(ISNUMBER(Schoonmaaknormen!E183),Schoonmaaknormen!BE183/Schoonmaaknormen!E183,0),"")</f>
        <v>0</v>
      </c>
      <c r="BV183" s="306">
        <f ca="1">IF(BF183&gt;0,IF(ISNUMBER(Schoonmaaknormen!F183),Schoonmaaknormen!BF183/Schoonmaaknormen!F183,0),"")</f>
        <v>0</v>
      </c>
      <c r="BW183" s="306" t="str">
        <f ca="1">IF(BG183&gt;0,IF(ISNUMBER(Schoonmaaknormen!G183),Schoonmaaknormen!BG183/Schoonmaaknormen!G183,0),"")</f>
        <v/>
      </c>
      <c r="BX183" s="306">
        <f ca="1">IF(BH183&gt;0,IF(ISNUMBER(Schoonmaaknormen!H183),Schoonmaaknormen!BH183/Schoonmaaknormen!H183,0),"")</f>
        <v>0</v>
      </c>
      <c r="BY183" s="315" t="str">
        <f ca="1">IF(BI183&gt;0,IF(ISNUMBER(Schoonmaaknormen!I183),Schoonmaaknormen!BI183/Schoonmaaknormen!I183,0),"")</f>
        <v/>
      </c>
      <c r="BZ183" s="315" t="str">
        <f ca="1">IF(BJ183&gt;0,IF(ISNUMBER(Schoonmaaknormen!J183),Schoonmaaknormen!BJ183/Schoonmaaknormen!J183,0),"")</f>
        <v/>
      </c>
      <c r="CA183" s="547" t="str" cm="1">
        <f t="array" ref="CA183">IF(ISNUMBER(K183),IF(SUM(BT183:BZ188)/LARGE(_xlfn._xlws.FILTER(Ruimtestaat!BD:BD,Ruimtestaat!BC:BC=BR183),1)&lt;K183,K183*LARGE(_xlfn._xlws.FILTER(Ruimtestaat!BD:BD,Ruimtestaat!BC:BC=BR183),1)-SUM(BT183:BZ188),0),"")</f>
        <v/>
      </c>
      <c r="CB183" s="551">
        <f ca="1">SUM(BT183:CA188)</f>
        <v>0</v>
      </c>
    </row>
    <row r="184" spans="1:80" ht="0.2" customHeight="1" x14ac:dyDescent="0.2">
      <c r="A184" s="172">
        <f ca="1">Ruimtestaat!A184</f>
        <v>2</v>
      </c>
      <c r="B184" s="557"/>
      <c r="C184" s="11">
        <v>204</v>
      </c>
      <c r="D184" s="309"/>
      <c r="E184" s="310"/>
      <c r="F184" s="310"/>
      <c r="G184" s="310"/>
      <c r="H184" s="310"/>
      <c r="I184" s="312"/>
      <c r="J184" s="312"/>
      <c r="K184" s="560"/>
      <c r="L184" s="552"/>
      <c r="M184" s="172" t="b">
        <f>IF(_xlfn.XLOOKUP(BB184,Tabel2[Locatiecode],Tabel2[Type locatie],"",0)="vaccin",TRUE,FALSE)</f>
        <v>0</v>
      </c>
      <c r="BB184" s="272" t="str">
        <f>IF(Ruimtestaat!BC184="","",Ruimtestaat!BC184)</f>
        <v>WGN-CFL</v>
      </c>
      <c r="BC184" s="273">
        <f t="shared" si="4"/>
        <v>204</v>
      </c>
      <c r="BD184" s="274">
        <f ca="1">Ruimtestaat!D184*$BC184</f>
        <v>0</v>
      </c>
      <c r="BE184" s="275">
        <f ca="1">Ruimtestaat!E184*$BC184</f>
        <v>0</v>
      </c>
      <c r="BF184" s="275">
        <f ca="1">Ruimtestaat!F184*$BC184</f>
        <v>0</v>
      </c>
      <c r="BG184" s="275">
        <f ca="1">Ruimtestaat!G184*$BC184</f>
        <v>0</v>
      </c>
      <c r="BH184" s="275">
        <f ca="1">Ruimtestaat!H184*$BC184</f>
        <v>0</v>
      </c>
      <c r="BI184" s="276">
        <f ca="1">Ruimtestaat!I184*$BC184</f>
        <v>0</v>
      </c>
      <c r="BJ184" s="277">
        <f ca="1">Ruimtestaat!J184*$BC184</f>
        <v>0</v>
      </c>
      <c r="BK184" s="552"/>
      <c r="BR184" s="272" t="str">
        <f>IF(Ruimtestaat!BC184="","",Ruimtestaat!BC184)</f>
        <v>WGN-CFL</v>
      </c>
      <c r="BS184" s="273">
        <f t="shared" si="5"/>
        <v>204</v>
      </c>
      <c r="BT184" s="274" t="str">
        <f ca="1">IF(BD184&gt;0,IF(ISNUMBER(Schoonmaaknormen!D184),Schoonmaaknormen!BD184/Schoonmaaknormen!D184,0),"")</f>
        <v/>
      </c>
      <c r="BU184" s="275" t="str">
        <f ca="1">IF(BE184&gt;0,IF(ISNUMBER(Schoonmaaknormen!E184),Schoonmaaknormen!BE184/Schoonmaaknormen!E184,0),"")</f>
        <v/>
      </c>
      <c r="BV184" s="275" t="str">
        <f ca="1">IF(BF184&gt;0,IF(ISNUMBER(Schoonmaaknormen!F184),Schoonmaaknormen!BF184/Schoonmaaknormen!F184,0),"")</f>
        <v/>
      </c>
      <c r="BW184" s="275" t="str">
        <f ca="1">IF(BG184&gt;0,IF(ISNUMBER(Schoonmaaknormen!G184),Schoonmaaknormen!BG184/Schoonmaaknormen!G184,0),"")</f>
        <v/>
      </c>
      <c r="BX184" s="275" t="str">
        <f ca="1">IF(BH184&gt;0,IF(ISNUMBER(Schoonmaaknormen!H184),Schoonmaaknormen!BH184/Schoonmaaknormen!H184,0),"")</f>
        <v/>
      </c>
      <c r="BY184" s="276" t="str">
        <f ca="1">IF(BI184&gt;0,IF(ISNUMBER(Schoonmaaknormen!I184),Schoonmaaknormen!BI184/Schoonmaaknormen!I184,0),"")</f>
        <v/>
      </c>
      <c r="BZ184" s="276" t="str">
        <f ca="1">IF(BJ184&gt;0,IF(ISNUMBER(Schoonmaaknormen!J184),Schoonmaaknormen!BJ184/Schoonmaaknormen!J184,0),"")</f>
        <v/>
      </c>
      <c r="CA184" s="548"/>
      <c r="CB184" s="552"/>
    </row>
    <row r="185" spans="1:80" ht="0.2" customHeight="1" x14ac:dyDescent="0.2">
      <c r="A185" s="172">
        <f ca="1">Ruimtestaat!A185</f>
        <v>2</v>
      </c>
      <c r="B185" s="557"/>
      <c r="C185" s="11">
        <v>156</v>
      </c>
      <c r="D185" s="309"/>
      <c r="E185" s="310"/>
      <c r="F185" s="310"/>
      <c r="G185" s="310"/>
      <c r="H185" s="310"/>
      <c r="I185" s="312"/>
      <c r="J185" s="312"/>
      <c r="K185" s="560"/>
      <c r="L185" s="552"/>
      <c r="M185" s="172" t="b">
        <f>IF(_xlfn.XLOOKUP(BB185,Tabel2[Locatiecode],Tabel2[Type locatie],"",0)="vaccin",TRUE,FALSE)</f>
        <v>0</v>
      </c>
      <c r="BB185" s="272" t="str">
        <f>IF(Ruimtestaat!BC185="","",Ruimtestaat!BC185)</f>
        <v>WGN-CFL</v>
      </c>
      <c r="BC185" s="273">
        <f t="shared" si="4"/>
        <v>156</v>
      </c>
      <c r="BD185" s="274">
        <f ca="1">Ruimtestaat!D185*$BC185</f>
        <v>0</v>
      </c>
      <c r="BE185" s="275">
        <f ca="1">Ruimtestaat!E185*$BC185</f>
        <v>0</v>
      </c>
      <c r="BF185" s="275">
        <f ca="1">Ruimtestaat!F185*$BC185</f>
        <v>0</v>
      </c>
      <c r="BG185" s="275">
        <f ca="1">Ruimtestaat!G185*$BC185</f>
        <v>0</v>
      </c>
      <c r="BH185" s="275">
        <f ca="1">Ruimtestaat!H185*$BC185</f>
        <v>0</v>
      </c>
      <c r="BI185" s="276">
        <f ca="1">Ruimtestaat!I185*$BC185</f>
        <v>0</v>
      </c>
      <c r="BJ185" s="277">
        <f ca="1">Ruimtestaat!J185*$BC185</f>
        <v>0</v>
      </c>
      <c r="BK185" s="552"/>
      <c r="BR185" s="272" t="str">
        <f>IF(Ruimtestaat!BC185="","",Ruimtestaat!BC185)</f>
        <v>WGN-CFL</v>
      </c>
      <c r="BS185" s="273">
        <f t="shared" si="5"/>
        <v>156</v>
      </c>
      <c r="BT185" s="274" t="str">
        <f ca="1">IF(BD185&gt;0,IF(ISNUMBER(Schoonmaaknormen!D185),Schoonmaaknormen!BD185/Schoonmaaknormen!D185,0),"")</f>
        <v/>
      </c>
      <c r="BU185" s="275" t="str">
        <f ca="1">IF(BE185&gt;0,IF(ISNUMBER(Schoonmaaknormen!E185),Schoonmaaknormen!BE185/Schoonmaaknormen!E185,0),"")</f>
        <v/>
      </c>
      <c r="BV185" s="275" t="str">
        <f ca="1">IF(BF185&gt;0,IF(ISNUMBER(Schoonmaaknormen!F185),Schoonmaaknormen!BF185/Schoonmaaknormen!F185,0),"")</f>
        <v/>
      </c>
      <c r="BW185" s="275" t="str">
        <f ca="1">IF(BG185&gt;0,IF(ISNUMBER(Schoonmaaknormen!G185),Schoonmaaknormen!BG185/Schoonmaaknormen!G185,0),"")</f>
        <v/>
      </c>
      <c r="BX185" s="275" t="str">
        <f ca="1">IF(BH185&gt;0,IF(ISNUMBER(Schoonmaaknormen!H185),Schoonmaaknormen!BH185/Schoonmaaknormen!H185,0),"")</f>
        <v/>
      </c>
      <c r="BY185" s="276" t="str">
        <f ca="1">IF(BI185&gt;0,IF(ISNUMBER(Schoonmaaknormen!I185),Schoonmaaknormen!BI185/Schoonmaaknormen!I185,0),"")</f>
        <v/>
      </c>
      <c r="BZ185" s="276" t="str">
        <f ca="1">IF(BJ185&gt;0,IF(ISNUMBER(Schoonmaaknormen!J185),Schoonmaaknormen!BJ185/Schoonmaaknormen!J185,0),"")</f>
        <v/>
      </c>
      <c r="CA185" s="548"/>
      <c r="CB185" s="552"/>
    </row>
    <row r="186" spans="1:80" ht="0.2" customHeight="1" x14ac:dyDescent="0.2">
      <c r="A186" s="172">
        <f ca="1">Ruimtestaat!A186</f>
        <v>2</v>
      </c>
      <c r="B186" s="557"/>
      <c r="C186" s="11">
        <v>104</v>
      </c>
      <c r="D186" s="309"/>
      <c r="E186" s="310"/>
      <c r="F186" s="310"/>
      <c r="G186" s="310"/>
      <c r="H186" s="310"/>
      <c r="I186" s="312"/>
      <c r="J186" s="312"/>
      <c r="K186" s="561"/>
      <c r="L186" s="553"/>
      <c r="M186" s="172" t="b">
        <f>IF(_xlfn.XLOOKUP(BB186,Tabel2[Locatiecode],Tabel2[Type locatie],"",0)="vaccin",TRUE,FALSE)</f>
        <v>0</v>
      </c>
      <c r="BB186" s="278" t="str">
        <f>IF(Ruimtestaat!BC186="","",Ruimtestaat!BC186)</f>
        <v>WGN-CFL</v>
      </c>
      <c r="BC186" s="279">
        <f t="shared" si="4"/>
        <v>104</v>
      </c>
      <c r="BD186" s="280">
        <f ca="1">Ruimtestaat!D186*$BC186</f>
        <v>0</v>
      </c>
      <c r="BE186" s="281">
        <f ca="1">Ruimtestaat!E186*$BC186</f>
        <v>0</v>
      </c>
      <c r="BF186" s="281">
        <f ca="1">Ruimtestaat!F186*$BC186</f>
        <v>0</v>
      </c>
      <c r="BG186" s="281">
        <f ca="1">Ruimtestaat!G186*$BC186</f>
        <v>0</v>
      </c>
      <c r="BH186" s="281">
        <f ca="1">Ruimtestaat!H186*$BC186</f>
        <v>0</v>
      </c>
      <c r="BI186" s="282">
        <f ca="1">Ruimtestaat!I186*$BC186</f>
        <v>0</v>
      </c>
      <c r="BJ186" s="283">
        <f ca="1">Ruimtestaat!J186*$BC186</f>
        <v>0</v>
      </c>
      <c r="BK186" s="553"/>
      <c r="BR186" s="278" t="str">
        <f>IF(Ruimtestaat!BC186="","",Ruimtestaat!BC186)</f>
        <v>WGN-CFL</v>
      </c>
      <c r="BS186" s="313">
        <f t="shared" si="5"/>
        <v>104</v>
      </c>
      <c r="BT186" s="280" t="str">
        <f ca="1">IF(BD186&gt;0,IF(ISNUMBER(Schoonmaaknormen!D186),Schoonmaaknormen!BD186/Schoonmaaknormen!D186,0),"")</f>
        <v/>
      </c>
      <c r="BU186" s="314" t="str">
        <f ca="1">IF(BE186&gt;0,IF(ISNUMBER(Schoonmaaknormen!E186),Schoonmaaknormen!BE186/Schoonmaaknormen!E186,0),"")</f>
        <v/>
      </c>
      <c r="BV186" s="314" t="str">
        <f ca="1">IF(BF186&gt;0,IF(ISNUMBER(Schoonmaaknormen!F186),Schoonmaaknormen!BF186/Schoonmaaknormen!F186,0),"")</f>
        <v/>
      </c>
      <c r="BW186" s="314" t="str">
        <f ca="1">IF(BG186&gt;0,IF(ISNUMBER(Schoonmaaknormen!G186),Schoonmaaknormen!BG186/Schoonmaaknormen!G186,0),"")</f>
        <v/>
      </c>
      <c r="BX186" s="314" t="str">
        <f ca="1">IF(BH186&gt;0,IF(ISNUMBER(Schoonmaaknormen!H186),Schoonmaaknormen!BH186/Schoonmaaknormen!H186,0),"")</f>
        <v/>
      </c>
      <c r="BY186" s="282" t="str">
        <f ca="1">IF(BI186&gt;0,IF(ISNUMBER(Schoonmaaknormen!I186),Schoonmaaknormen!BI186/Schoonmaaknormen!I186,0),"")</f>
        <v/>
      </c>
      <c r="BZ186" s="282" t="str">
        <f ca="1">IF(BJ186&gt;0,IF(ISNUMBER(Schoonmaaknormen!J186),Schoonmaaknormen!BJ186/Schoonmaaknormen!J186,0),"")</f>
        <v/>
      </c>
      <c r="CA186" s="549"/>
      <c r="CB186" s="553"/>
    </row>
    <row r="187" spans="1:80" ht="0.2" customHeight="1" x14ac:dyDescent="0.2">
      <c r="A187" s="172">
        <f ca="1">Ruimtestaat!A187</f>
        <v>0</v>
      </c>
      <c r="B187" s="557"/>
      <c r="C187" s="11">
        <v>52</v>
      </c>
      <c r="D187" s="309"/>
      <c r="E187" s="310"/>
      <c r="F187" s="310"/>
      <c r="G187" s="310"/>
      <c r="H187" s="310"/>
      <c r="I187" s="312"/>
      <c r="J187" s="312"/>
      <c r="K187" s="561"/>
      <c r="L187" s="553"/>
      <c r="M187" s="172" t="b">
        <f>IF(_xlfn.XLOOKUP(BB187,Tabel2[Locatiecode],Tabel2[Type locatie],"",0)="vaccin",TRUE,FALSE)</f>
        <v>0</v>
      </c>
      <c r="BB187" s="284" t="str">
        <f>IF(Ruimtestaat!BC187="","",Ruimtestaat!BC187)</f>
        <v>WGN-CFL</v>
      </c>
      <c r="BC187" s="285">
        <f t="shared" si="4"/>
        <v>52</v>
      </c>
      <c r="BD187" s="286">
        <f ca="1">Ruimtestaat!D187*$BC187</f>
        <v>0</v>
      </c>
      <c r="BE187" s="287">
        <f ca="1">Ruimtestaat!E187*$BC187</f>
        <v>0</v>
      </c>
      <c r="BF187" s="287">
        <f ca="1">Ruimtestaat!F187*$BC187</f>
        <v>0</v>
      </c>
      <c r="BG187" s="287">
        <f ca="1">Ruimtestaat!G187*$BC187</f>
        <v>0</v>
      </c>
      <c r="BH187" s="287">
        <f ca="1">Ruimtestaat!H187*$BC187</f>
        <v>0</v>
      </c>
      <c r="BI187" s="288">
        <f ca="1">Ruimtestaat!I187*$BC187</f>
        <v>0</v>
      </c>
      <c r="BJ187" s="289">
        <f ca="1">Ruimtestaat!J187*$BC187</f>
        <v>0</v>
      </c>
      <c r="BK187" s="553"/>
      <c r="BR187" s="284" t="str">
        <f>IF(Ruimtestaat!BC187="","",Ruimtestaat!BC187)</f>
        <v>WGN-CFL</v>
      </c>
      <c r="BS187" s="285">
        <f t="shared" si="5"/>
        <v>52</v>
      </c>
      <c r="BT187" s="286" t="str">
        <f ca="1">IF(BD187&gt;0,IF(ISNUMBER(Schoonmaaknormen!D187),Schoonmaaknormen!BD187/Schoonmaaknormen!D187,0),"")</f>
        <v/>
      </c>
      <c r="BU187" s="287" t="str">
        <f ca="1">IF(BE187&gt;0,IF(ISNUMBER(Schoonmaaknormen!E187),Schoonmaaknormen!BE187/Schoonmaaknormen!E187,0),"")</f>
        <v/>
      </c>
      <c r="BV187" s="287" t="str">
        <f ca="1">IF(BF187&gt;0,IF(ISNUMBER(Schoonmaaknormen!F187),Schoonmaaknormen!BF187/Schoonmaaknormen!F187,0),"")</f>
        <v/>
      </c>
      <c r="BW187" s="287" t="str">
        <f ca="1">IF(BG187&gt;0,IF(ISNUMBER(Schoonmaaknormen!G187),Schoonmaaknormen!BG187/Schoonmaaknormen!G187,0),"")</f>
        <v/>
      </c>
      <c r="BX187" s="287" t="str">
        <f ca="1">IF(BH187&gt;0,IF(ISNUMBER(Schoonmaaknormen!H187),Schoonmaaknormen!BH187/Schoonmaaknormen!H187,0),"")</f>
        <v/>
      </c>
      <c r="BY187" s="288" t="str">
        <f ca="1">IF(BI187&gt;0,IF(ISNUMBER(Schoonmaaknormen!I187),Schoonmaaknormen!BI187/Schoonmaaknormen!I187,0),"")</f>
        <v/>
      </c>
      <c r="BZ187" s="288" t="str">
        <f ca="1">IF(BJ187&gt;0,IF(ISNUMBER(Schoonmaaknormen!J187),Schoonmaaknormen!BJ187/Schoonmaaknormen!J187,0),"")</f>
        <v/>
      </c>
      <c r="CA187" s="549"/>
      <c r="CB187" s="553"/>
    </row>
    <row r="188" spans="1:80" ht="0.2" customHeight="1" x14ac:dyDescent="0.2">
      <c r="A188" s="172">
        <f ca="1">Ruimtestaat!A188</f>
        <v>2</v>
      </c>
      <c r="B188" s="558"/>
      <c r="C188" s="290">
        <v>4</v>
      </c>
      <c r="D188" s="186"/>
      <c r="E188" s="187"/>
      <c r="F188" s="187"/>
      <c r="G188" s="187"/>
      <c r="H188" s="187"/>
      <c r="I188" s="189"/>
      <c r="J188" s="189"/>
      <c r="K188" s="562"/>
      <c r="L188" s="554"/>
      <c r="M188" s="172" t="b">
        <f>IF(_xlfn.XLOOKUP(BB188,Tabel2[Locatiecode],Tabel2[Type locatie],"",0)="vaccin",TRUE,FALSE)</f>
        <v>0</v>
      </c>
      <c r="BB188" s="291" t="str">
        <f>IF(Ruimtestaat!BC188="","",Ruimtestaat!BC188)</f>
        <v>WGN-CFL</v>
      </c>
      <c r="BC188" s="292">
        <f t="shared" si="4"/>
        <v>4</v>
      </c>
      <c r="BD188" s="293">
        <f ca="1">Ruimtestaat!D188*$BC188</f>
        <v>0</v>
      </c>
      <c r="BE188" s="294">
        <f ca="1">Ruimtestaat!E188*$BC188</f>
        <v>0</v>
      </c>
      <c r="BF188" s="294">
        <f ca="1">Ruimtestaat!F188*$BC188</f>
        <v>0</v>
      </c>
      <c r="BG188" s="294">
        <f ca="1">Ruimtestaat!G188*$BC188</f>
        <v>0</v>
      </c>
      <c r="BH188" s="294">
        <f ca="1">Ruimtestaat!H188*$BC188</f>
        <v>0</v>
      </c>
      <c r="BI188" s="295">
        <f ca="1">Ruimtestaat!I188*$BC188</f>
        <v>0</v>
      </c>
      <c r="BJ188" s="296">
        <f ca="1">Ruimtestaat!J188*$BC188</f>
        <v>0</v>
      </c>
      <c r="BK188" s="554"/>
      <c r="BR188" s="291" t="str">
        <f>IF(Ruimtestaat!BC188="","",Ruimtestaat!BC188)</f>
        <v>WGN-CFL</v>
      </c>
      <c r="BS188" s="292">
        <f t="shared" si="5"/>
        <v>4</v>
      </c>
      <c r="BT188" s="293" t="str">
        <f ca="1">IF(BD188&gt;0,IF(ISNUMBER(Schoonmaaknormen!D188),Schoonmaaknormen!BD188/Schoonmaaknormen!D188,0),"")</f>
        <v/>
      </c>
      <c r="BU188" s="294" t="str">
        <f ca="1">IF(BE188&gt;0,IF(ISNUMBER(Schoonmaaknormen!E188),Schoonmaaknormen!BE188/Schoonmaaknormen!E188,0),"")</f>
        <v/>
      </c>
      <c r="BV188" s="294" t="str">
        <f ca="1">IF(BF188&gt;0,IF(ISNUMBER(Schoonmaaknormen!F188),Schoonmaaknormen!BF188/Schoonmaaknormen!F188,0),"")</f>
        <v/>
      </c>
      <c r="BW188" s="294" t="str">
        <f ca="1">IF(BG188&gt;0,IF(ISNUMBER(Schoonmaaknormen!G188),Schoonmaaknormen!BG188/Schoonmaaknormen!G188,0),"")</f>
        <v/>
      </c>
      <c r="BX188" s="294" t="str">
        <f ca="1">IF(BH188&gt;0,IF(ISNUMBER(Schoonmaaknormen!H188),Schoonmaaknormen!BH188/Schoonmaaknormen!H188,0),"")</f>
        <v/>
      </c>
      <c r="BY188" s="295" t="str">
        <f ca="1">IF(BI188&gt;0,IF(ISNUMBER(Schoonmaaknormen!I188),Schoonmaaknormen!BI188/Schoonmaaknormen!I188,0),"")</f>
        <v/>
      </c>
      <c r="BZ188" s="295" t="str">
        <f ca="1">IF(BJ188&gt;0,IF(ISNUMBER(Schoonmaaknormen!J188),Schoonmaaknormen!BJ188/Schoonmaaknormen!J188,0),"")</f>
        <v/>
      </c>
      <c r="CA188" s="555"/>
      <c r="CB188" s="554"/>
    </row>
    <row r="189" spans="1:80" ht="15" customHeight="1" x14ac:dyDescent="0.2">
      <c r="A189" s="172">
        <f ca="1">Ruimtestaat!A189</f>
        <v>1</v>
      </c>
      <c r="B189" s="556" t="str">
        <f>BB189</f>
        <v>WRM-DBK</v>
      </c>
      <c r="C189" s="298">
        <v>255</v>
      </c>
      <c r="D189" s="299"/>
      <c r="E189" s="300"/>
      <c r="F189" s="300"/>
      <c r="G189" s="300"/>
      <c r="H189" s="300"/>
      <c r="I189" s="302"/>
      <c r="J189" s="302"/>
      <c r="K189" s="559"/>
      <c r="L189" s="551" t="str" cm="1">
        <f t="array" aca="1" ref="L189" ca="1">_xlfn.IFS(A189=2,"",COUNTBLANK(D189:J194)=COUNTIF(Ruimtestaat!D189:J194,"&lt;=0"),BK189/CB189,TRUE,"")</f>
        <v/>
      </c>
      <c r="M189" s="172" t="b">
        <f>IF(_xlfn.XLOOKUP(BB189,Tabel2[Locatiecode],Tabel2[Type locatie],"",0)="vaccin",TRUE,FALSE)</f>
        <v>0</v>
      </c>
      <c r="BB189" s="303" t="str">
        <f>IF(Ruimtestaat!BC189="","",Ruimtestaat!BC189)</f>
        <v>WRM-DBK</v>
      </c>
      <c r="BC189" s="304">
        <f t="shared" si="4"/>
        <v>255</v>
      </c>
      <c r="BD189" s="305">
        <f ca="1">Ruimtestaat!D189*$BC189</f>
        <v>9486</v>
      </c>
      <c r="BE189" s="306">
        <f ca="1">Ruimtestaat!E189*$BC189</f>
        <v>3595.5</v>
      </c>
      <c r="BF189" s="306">
        <f ca="1">Ruimtestaat!F189*$BC189</f>
        <v>12061.5</v>
      </c>
      <c r="BG189" s="306">
        <f ca="1">Ruimtestaat!G189*$BC189</f>
        <v>0</v>
      </c>
      <c r="BH189" s="306">
        <f ca="1">Ruimtestaat!H189*$BC189</f>
        <v>714</v>
      </c>
      <c r="BI189" s="307">
        <f ca="1">Ruimtestaat!I189*$BC189</f>
        <v>2856</v>
      </c>
      <c r="BJ189" s="308">
        <f ca="1">Ruimtestaat!J189*$BC189</f>
        <v>0</v>
      </c>
      <c r="BK189" s="552">
        <f ca="1">SUM(BD189:BJ194)</f>
        <v>28713</v>
      </c>
      <c r="BR189" s="303" t="str">
        <f>IF(Ruimtestaat!BC189="","",Ruimtestaat!BC189)</f>
        <v>WRM-DBK</v>
      </c>
      <c r="BS189" s="304">
        <f t="shared" si="5"/>
        <v>255</v>
      </c>
      <c r="BT189" s="305">
        <f ca="1">IF(BD189&gt;0,IF(ISNUMBER(Schoonmaaknormen!D189),Schoonmaaknormen!BD189/Schoonmaaknormen!D189,0),"")</f>
        <v>0</v>
      </c>
      <c r="BU189" s="306">
        <f ca="1">IF(BE189&gt;0,IF(ISNUMBER(Schoonmaaknormen!E189),Schoonmaaknormen!BE189/Schoonmaaknormen!E189,0),"")</f>
        <v>0</v>
      </c>
      <c r="BV189" s="306">
        <f ca="1">IF(BF189&gt;0,IF(ISNUMBER(Schoonmaaknormen!F189),Schoonmaaknormen!BF189/Schoonmaaknormen!F189,0),"")</f>
        <v>0</v>
      </c>
      <c r="BW189" s="306" t="str">
        <f ca="1">IF(BG189&gt;0,IF(ISNUMBER(Schoonmaaknormen!G189),Schoonmaaknormen!BG189/Schoonmaaknormen!G189,0),"")</f>
        <v/>
      </c>
      <c r="BX189" s="306">
        <f ca="1">IF(BH189&gt;0,IF(ISNUMBER(Schoonmaaknormen!H189),Schoonmaaknormen!BH189/Schoonmaaknormen!H189,0),"")</f>
        <v>0</v>
      </c>
      <c r="BY189" s="315">
        <f ca="1">IF(BI189&gt;0,IF(ISNUMBER(Schoonmaaknormen!I189),Schoonmaaknormen!BI189/Schoonmaaknormen!I189,0),"")</f>
        <v>0</v>
      </c>
      <c r="BZ189" s="315" t="str">
        <f ca="1">IF(BJ189&gt;0,IF(ISNUMBER(Schoonmaaknormen!J189),Schoonmaaknormen!BJ189/Schoonmaaknormen!J189,0),"")</f>
        <v/>
      </c>
      <c r="CA189" s="547" t="str" cm="1">
        <f t="array" ref="CA189">IF(ISNUMBER(K189),IF(SUM(BT189:BZ194)/LARGE(_xlfn._xlws.FILTER(Ruimtestaat!BD:BD,Ruimtestaat!BC:BC=BR189),1)&lt;K189,K189*LARGE(_xlfn._xlws.FILTER(Ruimtestaat!BD:BD,Ruimtestaat!BC:BC=BR189),1)-SUM(BT189:BZ194),0),"")</f>
        <v/>
      </c>
      <c r="CB189" s="551">
        <f ca="1">SUM(BT189:CA194)</f>
        <v>0</v>
      </c>
    </row>
    <row r="190" spans="1:80" ht="0.2" customHeight="1" x14ac:dyDescent="0.2">
      <c r="A190" s="172">
        <f ca="1">Ruimtestaat!A190</f>
        <v>2</v>
      </c>
      <c r="B190" s="557"/>
      <c r="C190" s="11">
        <v>204</v>
      </c>
      <c r="D190" s="309"/>
      <c r="E190" s="310"/>
      <c r="F190" s="310"/>
      <c r="G190" s="310"/>
      <c r="H190" s="310"/>
      <c r="I190" s="312"/>
      <c r="J190" s="312"/>
      <c r="K190" s="560"/>
      <c r="L190" s="552"/>
      <c r="M190" s="172" t="b">
        <f>IF(_xlfn.XLOOKUP(BB190,Tabel2[Locatiecode],Tabel2[Type locatie],"",0)="vaccin",TRUE,FALSE)</f>
        <v>0</v>
      </c>
      <c r="BB190" s="272" t="str">
        <f>IF(Ruimtestaat!BC190="","",Ruimtestaat!BC190)</f>
        <v>WRM-DBK</v>
      </c>
      <c r="BC190" s="273">
        <f t="shared" si="4"/>
        <v>204</v>
      </c>
      <c r="BD190" s="274">
        <f ca="1">Ruimtestaat!D190*$BC190</f>
        <v>0</v>
      </c>
      <c r="BE190" s="275">
        <f ca="1">Ruimtestaat!E190*$BC190</f>
        <v>0</v>
      </c>
      <c r="BF190" s="275">
        <f ca="1">Ruimtestaat!F190*$BC190</f>
        <v>0</v>
      </c>
      <c r="BG190" s="275">
        <f ca="1">Ruimtestaat!G190*$BC190</f>
        <v>0</v>
      </c>
      <c r="BH190" s="275">
        <f ca="1">Ruimtestaat!H190*$BC190</f>
        <v>0</v>
      </c>
      <c r="BI190" s="276">
        <f ca="1">Ruimtestaat!I190*$BC190</f>
        <v>0</v>
      </c>
      <c r="BJ190" s="277">
        <f ca="1">Ruimtestaat!J190*$BC190</f>
        <v>0</v>
      </c>
      <c r="BK190" s="552"/>
      <c r="BR190" s="272" t="str">
        <f>IF(Ruimtestaat!BC190="","",Ruimtestaat!BC190)</f>
        <v>WRM-DBK</v>
      </c>
      <c r="BS190" s="273">
        <f t="shared" si="5"/>
        <v>204</v>
      </c>
      <c r="BT190" s="274" t="str">
        <f ca="1">IF(BD190&gt;0,IF(ISNUMBER(Schoonmaaknormen!D190),Schoonmaaknormen!BD190/Schoonmaaknormen!D190,0),"")</f>
        <v/>
      </c>
      <c r="BU190" s="275" t="str">
        <f ca="1">IF(BE190&gt;0,IF(ISNUMBER(Schoonmaaknormen!E190),Schoonmaaknormen!BE190/Schoonmaaknormen!E190,0),"")</f>
        <v/>
      </c>
      <c r="BV190" s="275" t="str">
        <f ca="1">IF(BF190&gt;0,IF(ISNUMBER(Schoonmaaknormen!F190),Schoonmaaknormen!BF190/Schoonmaaknormen!F190,0),"")</f>
        <v/>
      </c>
      <c r="BW190" s="275" t="str">
        <f ca="1">IF(BG190&gt;0,IF(ISNUMBER(Schoonmaaknormen!G190),Schoonmaaknormen!BG190/Schoonmaaknormen!G190,0),"")</f>
        <v/>
      </c>
      <c r="BX190" s="275" t="str">
        <f ca="1">IF(BH190&gt;0,IF(ISNUMBER(Schoonmaaknormen!H190),Schoonmaaknormen!BH190/Schoonmaaknormen!H190,0),"")</f>
        <v/>
      </c>
      <c r="BY190" s="276" t="str">
        <f ca="1">IF(BI190&gt;0,IF(ISNUMBER(Schoonmaaknormen!I190),Schoonmaaknormen!BI190/Schoonmaaknormen!I190,0),"")</f>
        <v/>
      </c>
      <c r="BZ190" s="276" t="str">
        <f ca="1">IF(BJ190&gt;0,IF(ISNUMBER(Schoonmaaknormen!J190),Schoonmaaknormen!BJ190/Schoonmaaknormen!J190,0),"")</f>
        <v/>
      </c>
      <c r="CA190" s="548"/>
      <c r="CB190" s="552"/>
    </row>
    <row r="191" spans="1:80" ht="0.2" customHeight="1" x14ac:dyDescent="0.2">
      <c r="A191" s="172">
        <f ca="1">Ruimtestaat!A191</f>
        <v>2</v>
      </c>
      <c r="B191" s="557"/>
      <c r="C191" s="11">
        <v>156</v>
      </c>
      <c r="D191" s="309"/>
      <c r="E191" s="310"/>
      <c r="F191" s="310"/>
      <c r="G191" s="310"/>
      <c r="H191" s="310"/>
      <c r="I191" s="312"/>
      <c r="J191" s="312"/>
      <c r="K191" s="560"/>
      <c r="L191" s="552"/>
      <c r="M191" s="172" t="b">
        <f>IF(_xlfn.XLOOKUP(BB191,Tabel2[Locatiecode],Tabel2[Type locatie],"",0)="vaccin",TRUE,FALSE)</f>
        <v>0</v>
      </c>
      <c r="BB191" s="272" t="str">
        <f>IF(Ruimtestaat!BC191="","",Ruimtestaat!BC191)</f>
        <v>WRM-DBK</v>
      </c>
      <c r="BC191" s="273">
        <f t="shared" si="4"/>
        <v>156</v>
      </c>
      <c r="BD191" s="274">
        <f ca="1">Ruimtestaat!D191*$BC191</f>
        <v>0</v>
      </c>
      <c r="BE191" s="275">
        <f ca="1">Ruimtestaat!E191*$BC191</f>
        <v>0</v>
      </c>
      <c r="BF191" s="275">
        <f ca="1">Ruimtestaat!F191*$BC191</f>
        <v>0</v>
      </c>
      <c r="BG191" s="275">
        <f ca="1">Ruimtestaat!G191*$BC191</f>
        <v>0</v>
      </c>
      <c r="BH191" s="275">
        <f ca="1">Ruimtestaat!H191*$BC191</f>
        <v>0</v>
      </c>
      <c r="BI191" s="276">
        <f ca="1">Ruimtestaat!I191*$BC191</f>
        <v>0</v>
      </c>
      <c r="BJ191" s="277">
        <f ca="1">Ruimtestaat!J191*$BC191</f>
        <v>0</v>
      </c>
      <c r="BK191" s="552"/>
      <c r="BR191" s="272" t="str">
        <f>IF(Ruimtestaat!BC191="","",Ruimtestaat!BC191)</f>
        <v>WRM-DBK</v>
      </c>
      <c r="BS191" s="273">
        <f t="shared" si="5"/>
        <v>156</v>
      </c>
      <c r="BT191" s="274" t="str">
        <f ca="1">IF(BD191&gt;0,IF(ISNUMBER(Schoonmaaknormen!D191),Schoonmaaknormen!BD191/Schoonmaaknormen!D191,0),"")</f>
        <v/>
      </c>
      <c r="BU191" s="275" t="str">
        <f ca="1">IF(BE191&gt;0,IF(ISNUMBER(Schoonmaaknormen!E191),Schoonmaaknormen!BE191/Schoonmaaknormen!E191,0),"")</f>
        <v/>
      </c>
      <c r="BV191" s="275" t="str">
        <f ca="1">IF(BF191&gt;0,IF(ISNUMBER(Schoonmaaknormen!F191),Schoonmaaknormen!BF191/Schoonmaaknormen!F191,0),"")</f>
        <v/>
      </c>
      <c r="BW191" s="275" t="str">
        <f ca="1">IF(BG191&gt;0,IF(ISNUMBER(Schoonmaaknormen!G191),Schoonmaaknormen!BG191/Schoonmaaknormen!G191,0),"")</f>
        <v/>
      </c>
      <c r="BX191" s="275" t="str">
        <f ca="1">IF(BH191&gt;0,IF(ISNUMBER(Schoonmaaknormen!H191),Schoonmaaknormen!BH191/Schoonmaaknormen!H191,0),"")</f>
        <v/>
      </c>
      <c r="BY191" s="276" t="str">
        <f ca="1">IF(BI191&gt;0,IF(ISNUMBER(Schoonmaaknormen!I191),Schoonmaaknormen!BI191/Schoonmaaknormen!I191,0),"")</f>
        <v/>
      </c>
      <c r="BZ191" s="276" t="str">
        <f ca="1">IF(BJ191&gt;0,IF(ISNUMBER(Schoonmaaknormen!J191),Schoonmaaknormen!BJ191/Schoonmaaknormen!J191,0),"")</f>
        <v/>
      </c>
      <c r="CA191" s="548"/>
      <c r="CB191" s="552"/>
    </row>
    <row r="192" spans="1:80" ht="0.2" customHeight="1" x14ac:dyDescent="0.2">
      <c r="A192" s="172">
        <f ca="1">Ruimtestaat!A192</f>
        <v>2</v>
      </c>
      <c r="B192" s="557"/>
      <c r="C192" s="11">
        <v>104</v>
      </c>
      <c r="D192" s="309"/>
      <c r="E192" s="310"/>
      <c r="F192" s="310"/>
      <c r="G192" s="310"/>
      <c r="H192" s="310"/>
      <c r="I192" s="312"/>
      <c r="J192" s="312"/>
      <c r="K192" s="561"/>
      <c r="L192" s="553"/>
      <c r="M192" s="172" t="b">
        <f>IF(_xlfn.XLOOKUP(BB192,Tabel2[Locatiecode],Tabel2[Type locatie],"",0)="vaccin",TRUE,FALSE)</f>
        <v>0</v>
      </c>
      <c r="BB192" s="278" t="str">
        <f>IF(Ruimtestaat!BC192="","",Ruimtestaat!BC192)</f>
        <v>WRM-DBK</v>
      </c>
      <c r="BC192" s="279">
        <f t="shared" si="4"/>
        <v>104</v>
      </c>
      <c r="BD192" s="280">
        <f ca="1">Ruimtestaat!D192*$BC192</f>
        <v>0</v>
      </c>
      <c r="BE192" s="281">
        <f ca="1">Ruimtestaat!E192*$BC192</f>
        <v>0</v>
      </c>
      <c r="BF192" s="281">
        <f ca="1">Ruimtestaat!F192*$BC192</f>
        <v>0</v>
      </c>
      <c r="BG192" s="281">
        <f ca="1">Ruimtestaat!G192*$BC192</f>
        <v>0</v>
      </c>
      <c r="BH192" s="281">
        <f ca="1">Ruimtestaat!H192*$BC192</f>
        <v>0</v>
      </c>
      <c r="BI192" s="282">
        <f ca="1">Ruimtestaat!I192*$BC192</f>
        <v>0</v>
      </c>
      <c r="BJ192" s="283">
        <f ca="1">Ruimtestaat!J192*$BC192</f>
        <v>0</v>
      </c>
      <c r="BK192" s="553"/>
      <c r="BR192" s="278" t="str">
        <f>IF(Ruimtestaat!BC192="","",Ruimtestaat!BC192)</f>
        <v>WRM-DBK</v>
      </c>
      <c r="BS192" s="313">
        <f t="shared" si="5"/>
        <v>104</v>
      </c>
      <c r="BT192" s="280" t="str">
        <f ca="1">IF(BD192&gt;0,IF(ISNUMBER(Schoonmaaknormen!D192),Schoonmaaknormen!BD192/Schoonmaaknormen!D192,0),"")</f>
        <v/>
      </c>
      <c r="BU192" s="314" t="str">
        <f ca="1">IF(BE192&gt;0,IF(ISNUMBER(Schoonmaaknormen!E192),Schoonmaaknormen!BE192/Schoonmaaknormen!E192,0),"")</f>
        <v/>
      </c>
      <c r="BV192" s="314" t="str">
        <f ca="1">IF(BF192&gt;0,IF(ISNUMBER(Schoonmaaknormen!F192),Schoonmaaknormen!BF192/Schoonmaaknormen!F192,0),"")</f>
        <v/>
      </c>
      <c r="BW192" s="314" t="str">
        <f ca="1">IF(BG192&gt;0,IF(ISNUMBER(Schoonmaaknormen!G192),Schoonmaaknormen!BG192/Schoonmaaknormen!G192,0),"")</f>
        <v/>
      </c>
      <c r="BX192" s="314" t="str">
        <f ca="1">IF(BH192&gt;0,IF(ISNUMBER(Schoonmaaknormen!H192),Schoonmaaknormen!BH192/Schoonmaaknormen!H192,0),"")</f>
        <v/>
      </c>
      <c r="BY192" s="282" t="str">
        <f ca="1">IF(BI192&gt;0,IF(ISNUMBER(Schoonmaaknormen!I192),Schoonmaaknormen!BI192/Schoonmaaknormen!I192,0),"")</f>
        <v/>
      </c>
      <c r="BZ192" s="282" t="str">
        <f ca="1">IF(BJ192&gt;0,IF(ISNUMBER(Schoonmaaknormen!J192),Schoonmaaknormen!BJ192/Schoonmaaknormen!J192,0),"")</f>
        <v/>
      </c>
      <c r="CA192" s="549"/>
      <c r="CB192" s="553"/>
    </row>
    <row r="193" spans="1:80" ht="0.2" customHeight="1" x14ac:dyDescent="0.2">
      <c r="A193" s="172">
        <f ca="1">Ruimtestaat!A193</f>
        <v>0</v>
      </c>
      <c r="B193" s="557"/>
      <c r="C193" s="11">
        <v>52</v>
      </c>
      <c r="D193" s="309"/>
      <c r="E193" s="310"/>
      <c r="F193" s="310"/>
      <c r="G193" s="310"/>
      <c r="H193" s="310"/>
      <c r="I193" s="312"/>
      <c r="J193" s="312"/>
      <c r="K193" s="561"/>
      <c r="L193" s="553"/>
      <c r="M193" s="172" t="b">
        <f>IF(_xlfn.XLOOKUP(BB193,Tabel2[Locatiecode],Tabel2[Type locatie],"",0)="vaccin",TRUE,FALSE)</f>
        <v>0</v>
      </c>
      <c r="BB193" s="284" t="str">
        <f>IF(Ruimtestaat!BC193="","",Ruimtestaat!BC193)</f>
        <v>WRM-DBK</v>
      </c>
      <c r="BC193" s="285">
        <f t="shared" si="4"/>
        <v>52</v>
      </c>
      <c r="BD193" s="286">
        <f ca="1">Ruimtestaat!D193*$BC193</f>
        <v>0</v>
      </c>
      <c r="BE193" s="287">
        <f ca="1">Ruimtestaat!E193*$BC193</f>
        <v>0</v>
      </c>
      <c r="BF193" s="287">
        <f ca="1">Ruimtestaat!F193*$BC193</f>
        <v>0</v>
      </c>
      <c r="BG193" s="287">
        <f ca="1">Ruimtestaat!G193*$BC193</f>
        <v>0</v>
      </c>
      <c r="BH193" s="287">
        <f ca="1">Ruimtestaat!H193*$BC193</f>
        <v>0</v>
      </c>
      <c r="BI193" s="288">
        <f ca="1">Ruimtestaat!I193*$BC193</f>
        <v>0</v>
      </c>
      <c r="BJ193" s="289">
        <f ca="1">Ruimtestaat!J193*$BC193</f>
        <v>0</v>
      </c>
      <c r="BK193" s="553"/>
      <c r="BR193" s="284" t="str">
        <f>IF(Ruimtestaat!BC193="","",Ruimtestaat!BC193)</f>
        <v>WRM-DBK</v>
      </c>
      <c r="BS193" s="285">
        <f t="shared" si="5"/>
        <v>52</v>
      </c>
      <c r="BT193" s="286" t="str">
        <f ca="1">IF(BD193&gt;0,IF(ISNUMBER(Schoonmaaknormen!D193),Schoonmaaknormen!BD193/Schoonmaaknormen!D193,0),"")</f>
        <v/>
      </c>
      <c r="BU193" s="287" t="str">
        <f ca="1">IF(BE193&gt;0,IF(ISNUMBER(Schoonmaaknormen!E193),Schoonmaaknormen!BE193/Schoonmaaknormen!E193,0),"")</f>
        <v/>
      </c>
      <c r="BV193" s="287" t="str">
        <f ca="1">IF(BF193&gt;0,IF(ISNUMBER(Schoonmaaknormen!F193),Schoonmaaknormen!BF193/Schoonmaaknormen!F193,0),"")</f>
        <v/>
      </c>
      <c r="BW193" s="287" t="str">
        <f ca="1">IF(BG193&gt;0,IF(ISNUMBER(Schoonmaaknormen!G193),Schoonmaaknormen!BG193/Schoonmaaknormen!G193,0),"")</f>
        <v/>
      </c>
      <c r="BX193" s="287" t="str">
        <f ca="1">IF(BH193&gt;0,IF(ISNUMBER(Schoonmaaknormen!H193),Schoonmaaknormen!BH193/Schoonmaaknormen!H193,0),"")</f>
        <v/>
      </c>
      <c r="BY193" s="288" t="str">
        <f ca="1">IF(BI193&gt;0,IF(ISNUMBER(Schoonmaaknormen!I193),Schoonmaaknormen!BI193/Schoonmaaknormen!I193,0),"")</f>
        <v/>
      </c>
      <c r="BZ193" s="288" t="str">
        <f ca="1">IF(BJ193&gt;0,IF(ISNUMBER(Schoonmaaknormen!J193),Schoonmaaknormen!BJ193/Schoonmaaknormen!J193,0),"")</f>
        <v/>
      </c>
      <c r="CA193" s="549"/>
      <c r="CB193" s="553"/>
    </row>
    <row r="194" spans="1:80" ht="0.2" customHeight="1" x14ac:dyDescent="0.2">
      <c r="A194" s="172">
        <f ca="1">Ruimtestaat!A194</f>
        <v>2</v>
      </c>
      <c r="B194" s="558"/>
      <c r="C194" s="290">
        <v>4</v>
      </c>
      <c r="D194" s="186"/>
      <c r="E194" s="187"/>
      <c r="F194" s="187"/>
      <c r="G194" s="187"/>
      <c r="H194" s="187"/>
      <c r="I194" s="189"/>
      <c r="J194" s="189"/>
      <c r="K194" s="562"/>
      <c r="L194" s="554"/>
      <c r="M194" s="172" t="b">
        <f>IF(_xlfn.XLOOKUP(BB194,Tabel2[Locatiecode],Tabel2[Type locatie],"",0)="vaccin",TRUE,FALSE)</f>
        <v>0</v>
      </c>
      <c r="BB194" s="291" t="str">
        <f>IF(Ruimtestaat!BC194="","",Ruimtestaat!BC194)</f>
        <v>WRM-DBK</v>
      </c>
      <c r="BC194" s="292">
        <f t="shared" si="4"/>
        <v>4</v>
      </c>
      <c r="BD194" s="293">
        <f ca="1">Ruimtestaat!D194*$BC194</f>
        <v>0</v>
      </c>
      <c r="BE194" s="294">
        <f ca="1">Ruimtestaat!E194*$BC194</f>
        <v>0</v>
      </c>
      <c r="BF194" s="294">
        <f ca="1">Ruimtestaat!F194*$BC194</f>
        <v>0</v>
      </c>
      <c r="BG194" s="294">
        <f ca="1">Ruimtestaat!G194*$BC194</f>
        <v>0</v>
      </c>
      <c r="BH194" s="294">
        <f ca="1">Ruimtestaat!H194*$BC194</f>
        <v>0</v>
      </c>
      <c r="BI194" s="295">
        <f ca="1">Ruimtestaat!I194*$BC194</f>
        <v>0</v>
      </c>
      <c r="BJ194" s="296">
        <f ca="1">Ruimtestaat!J194*$BC194</f>
        <v>0</v>
      </c>
      <c r="BK194" s="554"/>
      <c r="BR194" s="291" t="str">
        <f>IF(Ruimtestaat!BC194="","",Ruimtestaat!BC194)</f>
        <v>WRM-DBK</v>
      </c>
      <c r="BS194" s="292">
        <f t="shared" si="5"/>
        <v>4</v>
      </c>
      <c r="BT194" s="293" t="str">
        <f ca="1">IF(BD194&gt;0,IF(ISNUMBER(Schoonmaaknormen!D194),Schoonmaaknormen!BD194/Schoonmaaknormen!D194,0),"")</f>
        <v/>
      </c>
      <c r="BU194" s="294" t="str">
        <f ca="1">IF(BE194&gt;0,IF(ISNUMBER(Schoonmaaknormen!E194),Schoonmaaknormen!BE194/Schoonmaaknormen!E194,0),"")</f>
        <v/>
      </c>
      <c r="BV194" s="294" t="str">
        <f ca="1">IF(BF194&gt;0,IF(ISNUMBER(Schoonmaaknormen!F194),Schoonmaaknormen!BF194/Schoonmaaknormen!F194,0),"")</f>
        <v/>
      </c>
      <c r="BW194" s="294" t="str">
        <f ca="1">IF(BG194&gt;0,IF(ISNUMBER(Schoonmaaknormen!G194),Schoonmaaknormen!BG194/Schoonmaaknormen!G194,0),"")</f>
        <v/>
      </c>
      <c r="BX194" s="294" t="str">
        <f ca="1">IF(BH194&gt;0,IF(ISNUMBER(Schoonmaaknormen!H194),Schoonmaaknormen!BH194/Schoonmaaknormen!H194,0),"")</f>
        <v/>
      </c>
      <c r="BY194" s="295" t="str">
        <f ca="1">IF(BI194&gt;0,IF(ISNUMBER(Schoonmaaknormen!I194),Schoonmaaknormen!BI194/Schoonmaaknormen!I194,0),"")</f>
        <v/>
      </c>
      <c r="BZ194" s="295" t="str">
        <f ca="1">IF(BJ194&gt;0,IF(ISNUMBER(Schoonmaaknormen!J194),Schoonmaaknormen!BJ194/Schoonmaaknormen!J194,0),"")</f>
        <v/>
      </c>
      <c r="CA194" s="555"/>
      <c r="CB194" s="554"/>
    </row>
    <row r="195" spans="1:80" ht="15" customHeight="1" x14ac:dyDescent="0.2">
      <c r="A195" s="172">
        <f ca="1">Ruimtestaat!A195</f>
        <v>1</v>
      </c>
      <c r="B195" s="556" t="str">
        <f>BB195</f>
        <v>WRV-OLW</v>
      </c>
      <c r="C195" s="298">
        <v>255</v>
      </c>
      <c r="D195" s="299"/>
      <c r="E195" s="300"/>
      <c r="F195" s="300"/>
      <c r="G195" s="300"/>
      <c r="H195" s="300"/>
      <c r="I195" s="302"/>
      <c r="J195" s="302"/>
      <c r="K195" s="559"/>
      <c r="L195" s="551" t="str" cm="1">
        <f t="array" aca="1" ref="L195" ca="1">_xlfn.IFS(A195=2,"",COUNTBLANK(D195:J200)=COUNTIF(Ruimtestaat!D195:J200,"&lt;=0"),BK195/CB195,TRUE,"")</f>
        <v/>
      </c>
      <c r="M195" s="172" t="b">
        <f>IF(_xlfn.XLOOKUP(BB195,Tabel2[Locatiecode],Tabel2[Type locatie],"",0)="vaccin",TRUE,FALSE)</f>
        <v>0</v>
      </c>
      <c r="BB195" s="303" t="str">
        <f>IF(Ruimtestaat!BC195="","",Ruimtestaat!BC195)</f>
        <v>WRV-OLW</v>
      </c>
      <c r="BC195" s="304">
        <f t="shared" si="4"/>
        <v>255</v>
      </c>
      <c r="BD195" s="305">
        <f ca="1">Ruimtestaat!D195*$BC195</f>
        <v>7650</v>
      </c>
      <c r="BE195" s="306">
        <f ca="1">Ruimtestaat!E195*$BC195</f>
        <v>3850.5</v>
      </c>
      <c r="BF195" s="306">
        <f ca="1">Ruimtestaat!F195*$BC195</f>
        <v>21343.5</v>
      </c>
      <c r="BG195" s="306">
        <f>Ruimtestaat!G195*$BC195</f>
        <v>0</v>
      </c>
      <c r="BH195" s="306">
        <f ca="1">Ruimtestaat!H195*$BC195</f>
        <v>561</v>
      </c>
      <c r="BI195" s="307">
        <f ca="1">Ruimtestaat!I195*$BC195</f>
        <v>4641</v>
      </c>
      <c r="BJ195" s="308">
        <f ca="1">Ruimtestaat!J195*$BC195</f>
        <v>0</v>
      </c>
      <c r="BK195" s="552">
        <f ca="1">SUM(BD195:BJ200)</f>
        <v>38046</v>
      </c>
      <c r="BR195" s="303" t="str">
        <f>IF(Ruimtestaat!BC195="","",Ruimtestaat!BC195)</f>
        <v>WRV-OLW</v>
      </c>
      <c r="BS195" s="304">
        <f t="shared" si="5"/>
        <v>255</v>
      </c>
      <c r="BT195" s="305">
        <f ca="1">IF(BD195&gt;0,IF(ISNUMBER(Schoonmaaknormen!D195),Schoonmaaknormen!BD195/Schoonmaaknormen!D195,0),"")</f>
        <v>0</v>
      </c>
      <c r="BU195" s="306">
        <f ca="1">IF(BE195&gt;0,IF(ISNUMBER(Schoonmaaknormen!E195),Schoonmaaknormen!BE195/Schoonmaaknormen!E195,0),"")</f>
        <v>0</v>
      </c>
      <c r="BV195" s="306">
        <f ca="1">IF(BF195&gt;0,IF(ISNUMBER(Schoonmaaknormen!F195),Schoonmaaknormen!BF195/Schoonmaaknormen!F195,0),"")</f>
        <v>0</v>
      </c>
      <c r="BW195" s="306" t="str">
        <f>IF(BG195&gt;0,IF(ISNUMBER(Schoonmaaknormen!G195),Schoonmaaknormen!BG195/Schoonmaaknormen!G195,0),"")</f>
        <v/>
      </c>
      <c r="BX195" s="306">
        <f ca="1">IF(BH195&gt;0,IF(ISNUMBER(Schoonmaaknormen!H195),Schoonmaaknormen!BH195/Schoonmaaknormen!H195,0),"")</f>
        <v>0</v>
      </c>
      <c r="BY195" s="315">
        <f ca="1">IF(BI195&gt;0,IF(ISNUMBER(Schoonmaaknormen!I195),Schoonmaaknormen!BI195/Schoonmaaknormen!I195,0),"")</f>
        <v>0</v>
      </c>
      <c r="BZ195" s="315" t="str">
        <f ca="1">IF(BJ195&gt;0,IF(ISNUMBER(Schoonmaaknormen!J195),Schoonmaaknormen!BJ195/Schoonmaaknormen!J195,0),"")</f>
        <v/>
      </c>
      <c r="CA195" s="547" t="str" cm="1">
        <f t="array" ref="CA195">IF(ISNUMBER(K195),IF(SUM(BT195:BZ200)/LARGE(_xlfn._xlws.FILTER(Ruimtestaat!BD:BD,Ruimtestaat!BC:BC=BR195),1)&lt;K195,K195*LARGE(_xlfn._xlws.FILTER(Ruimtestaat!BD:BD,Ruimtestaat!BC:BC=BR195),1)-SUM(BT195:BZ200),0),"")</f>
        <v/>
      </c>
      <c r="CB195" s="551">
        <f ca="1">SUM(BT195:CA200)</f>
        <v>0</v>
      </c>
    </row>
    <row r="196" spans="1:80" ht="0.2" customHeight="1" x14ac:dyDescent="0.2">
      <c r="A196" s="172">
        <f ca="1">Ruimtestaat!A196</f>
        <v>2</v>
      </c>
      <c r="B196" s="557"/>
      <c r="C196" s="11">
        <v>204</v>
      </c>
      <c r="D196" s="309"/>
      <c r="E196" s="310"/>
      <c r="F196" s="310"/>
      <c r="G196" s="310"/>
      <c r="H196" s="310"/>
      <c r="I196" s="312"/>
      <c r="J196" s="312"/>
      <c r="K196" s="560"/>
      <c r="L196" s="552"/>
      <c r="M196" s="172" t="b">
        <f>IF(_xlfn.XLOOKUP(BB196,Tabel2[Locatiecode],Tabel2[Type locatie],"",0)="vaccin",TRUE,FALSE)</f>
        <v>0</v>
      </c>
      <c r="BB196" s="272" t="str">
        <f>IF(Ruimtestaat!BC196="","",Ruimtestaat!BC196)</f>
        <v>WRV-OLW</v>
      </c>
      <c r="BC196" s="273">
        <f t="shared" ref="BC196:BC259" si="6">C196</f>
        <v>204</v>
      </c>
      <c r="BD196" s="274">
        <f ca="1">Ruimtestaat!D196*$BC196</f>
        <v>0</v>
      </c>
      <c r="BE196" s="275">
        <f ca="1">Ruimtestaat!E196*$BC196</f>
        <v>0</v>
      </c>
      <c r="BF196" s="275">
        <f ca="1">Ruimtestaat!F196*$BC196</f>
        <v>0</v>
      </c>
      <c r="BG196" s="275">
        <f>Ruimtestaat!G196*$BC196</f>
        <v>0</v>
      </c>
      <c r="BH196" s="275">
        <f ca="1">Ruimtestaat!H196*$BC196</f>
        <v>0</v>
      </c>
      <c r="BI196" s="276">
        <f ca="1">Ruimtestaat!I196*$BC196</f>
        <v>0</v>
      </c>
      <c r="BJ196" s="277">
        <f ca="1">Ruimtestaat!J196*$BC196</f>
        <v>0</v>
      </c>
      <c r="BK196" s="552"/>
      <c r="BR196" s="272" t="str">
        <f>IF(Ruimtestaat!BC196="","",Ruimtestaat!BC196)</f>
        <v>WRV-OLW</v>
      </c>
      <c r="BS196" s="273">
        <f t="shared" ref="BS196:BS259" si="7">C196</f>
        <v>204</v>
      </c>
      <c r="BT196" s="274" t="str">
        <f ca="1">IF(BD196&gt;0,IF(ISNUMBER(Schoonmaaknormen!D196),Schoonmaaknormen!BD196/Schoonmaaknormen!D196,0),"")</f>
        <v/>
      </c>
      <c r="BU196" s="275" t="str">
        <f ca="1">IF(BE196&gt;0,IF(ISNUMBER(Schoonmaaknormen!E196),Schoonmaaknormen!BE196/Schoonmaaknormen!E196,0),"")</f>
        <v/>
      </c>
      <c r="BV196" s="275" t="str">
        <f ca="1">IF(BF196&gt;0,IF(ISNUMBER(Schoonmaaknormen!F196),Schoonmaaknormen!BF196/Schoonmaaknormen!F196,0),"")</f>
        <v/>
      </c>
      <c r="BW196" s="275" t="str">
        <f>IF(BG196&gt;0,IF(ISNUMBER(Schoonmaaknormen!G196),Schoonmaaknormen!BG196/Schoonmaaknormen!G196,0),"")</f>
        <v/>
      </c>
      <c r="BX196" s="275" t="str">
        <f ca="1">IF(BH196&gt;0,IF(ISNUMBER(Schoonmaaknormen!H196),Schoonmaaknormen!BH196/Schoonmaaknormen!H196,0),"")</f>
        <v/>
      </c>
      <c r="BY196" s="276" t="str">
        <f ca="1">IF(BI196&gt;0,IF(ISNUMBER(Schoonmaaknormen!I196),Schoonmaaknormen!BI196/Schoonmaaknormen!I196,0),"")</f>
        <v/>
      </c>
      <c r="BZ196" s="276" t="str">
        <f ca="1">IF(BJ196&gt;0,IF(ISNUMBER(Schoonmaaknormen!J196),Schoonmaaknormen!BJ196/Schoonmaaknormen!J196,0),"")</f>
        <v/>
      </c>
      <c r="CA196" s="548"/>
      <c r="CB196" s="552"/>
    </row>
    <row r="197" spans="1:80" ht="0.2" customHeight="1" x14ac:dyDescent="0.2">
      <c r="A197" s="172">
        <f ca="1">Ruimtestaat!A197</f>
        <v>2</v>
      </c>
      <c r="B197" s="557"/>
      <c r="C197" s="11">
        <v>156</v>
      </c>
      <c r="D197" s="309"/>
      <c r="E197" s="310"/>
      <c r="F197" s="310"/>
      <c r="G197" s="310"/>
      <c r="H197" s="310"/>
      <c r="I197" s="312"/>
      <c r="J197" s="312"/>
      <c r="K197" s="560"/>
      <c r="L197" s="552"/>
      <c r="M197" s="172" t="b">
        <f>IF(_xlfn.XLOOKUP(BB197,Tabel2[Locatiecode],Tabel2[Type locatie],"",0)="vaccin",TRUE,FALSE)</f>
        <v>0</v>
      </c>
      <c r="BB197" s="272" t="str">
        <f>IF(Ruimtestaat!BC197="","",Ruimtestaat!BC197)</f>
        <v>WRV-OLW</v>
      </c>
      <c r="BC197" s="273">
        <f t="shared" si="6"/>
        <v>156</v>
      </c>
      <c r="BD197" s="274">
        <f ca="1">Ruimtestaat!D197*$BC197</f>
        <v>0</v>
      </c>
      <c r="BE197" s="275">
        <f ca="1">Ruimtestaat!E197*$BC197</f>
        <v>0</v>
      </c>
      <c r="BF197" s="275">
        <f ca="1">Ruimtestaat!F197*$BC197</f>
        <v>0</v>
      </c>
      <c r="BG197" s="275">
        <f ca="1">Ruimtestaat!G197*$BC197</f>
        <v>0</v>
      </c>
      <c r="BH197" s="275">
        <f ca="1">Ruimtestaat!H197*$BC197</f>
        <v>0</v>
      </c>
      <c r="BI197" s="276">
        <f ca="1">Ruimtestaat!I197*$BC197</f>
        <v>0</v>
      </c>
      <c r="BJ197" s="277">
        <f ca="1">Ruimtestaat!J197*$BC197</f>
        <v>0</v>
      </c>
      <c r="BK197" s="552"/>
      <c r="BR197" s="272" t="str">
        <f>IF(Ruimtestaat!BC197="","",Ruimtestaat!BC197)</f>
        <v>WRV-OLW</v>
      </c>
      <c r="BS197" s="273">
        <f t="shared" si="7"/>
        <v>156</v>
      </c>
      <c r="BT197" s="274" t="str">
        <f ca="1">IF(BD197&gt;0,IF(ISNUMBER(Schoonmaaknormen!D197),Schoonmaaknormen!BD197/Schoonmaaknormen!D197,0),"")</f>
        <v/>
      </c>
      <c r="BU197" s="275" t="str">
        <f ca="1">IF(BE197&gt;0,IF(ISNUMBER(Schoonmaaknormen!E197),Schoonmaaknormen!BE197/Schoonmaaknormen!E197,0),"")</f>
        <v/>
      </c>
      <c r="BV197" s="275" t="str">
        <f ca="1">IF(BF197&gt;0,IF(ISNUMBER(Schoonmaaknormen!F197),Schoonmaaknormen!BF197/Schoonmaaknormen!F197,0),"")</f>
        <v/>
      </c>
      <c r="BW197" s="275" t="str">
        <f ca="1">IF(BG197&gt;0,IF(ISNUMBER(Schoonmaaknormen!G197),Schoonmaaknormen!BG197/Schoonmaaknormen!G197,0),"")</f>
        <v/>
      </c>
      <c r="BX197" s="275" t="str">
        <f ca="1">IF(BH197&gt;0,IF(ISNUMBER(Schoonmaaknormen!H197),Schoonmaaknormen!BH197/Schoonmaaknormen!H197,0),"")</f>
        <v/>
      </c>
      <c r="BY197" s="276" t="str">
        <f ca="1">IF(BI197&gt;0,IF(ISNUMBER(Schoonmaaknormen!I197),Schoonmaaknormen!BI197/Schoonmaaknormen!I197,0),"")</f>
        <v/>
      </c>
      <c r="BZ197" s="276" t="str">
        <f ca="1">IF(BJ197&gt;0,IF(ISNUMBER(Schoonmaaknormen!J197),Schoonmaaknormen!BJ197/Schoonmaaknormen!J197,0),"")</f>
        <v/>
      </c>
      <c r="CA197" s="548"/>
      <c r="CB197" s="552"/>
    </row>
    <row r="198" spans="1:80" ht="0.2" customHeight="1" x14ac:dyDescent="0.2">
      <c r="A198" s="172">
        <f ca="1">Ruimtestaat!A198</f>
        <v>2</v>
      </c>
      <c r="B198" s="557"/>
      <c r="C198" s="11">
        <v>104</v>
      </c>
      <c r="D198" s="309"/>
      <c r="E198" s="310"/>
      <c r="F198" s="310"/>
      <c r="G198" s="310"/>
      <c r="H198" s="310"/>
      <c r="I198" s="312"/>
      <c r="J198" s="312"/>
      <c r="K198" s="561"/>
      <c r="L198" s="553"/>
      <c r="M198" s="172" t="b">
        <f>IF(_xlfn.XLOOKUP(BB198,Tabel2[Locatiecode],Tabel2[Type locatie],"",0)="vaccin",TRUE,FALSE)</f>
        <v>0</v>
      </c>
      <c r="BB198" s="278" t="str">
        <f>IF(Ruimtestaat!BC198="","",Ruimtestaat!BC198)</f>
        <v>WRV-OLW</v>
      </c>
      <c r="BC198" s="279">
        <f t="shared" si="6"/>
        <v>104</v>
      </c>
      <c r="BD198" s="280">
        <f ca="1">Ruimtestaat!D198*$BC198</f>
        <v>0</v>
      </c>
      <c r="BE198" s="281">
        <f ca="1">Ruimtestaat!E198*$BC198</f>
        <v>0</v>
      </c>
      <c r="BF198" s="281">
        <f ca="1">Ruimtestaat!F198*$BC198</f>
        <v>0</v>
      </c>
      <c r="BG198" s="281">
        <f ca="1">Ruimtestaat!G198*$BC198</f>
        <v>0</v>
      </c>
      <c r="BH198" s="281">
        <f ca="1">Ruimtestaat!H198*$BC198</f>
        <v>0</v>
      </c>
      <c r="BI198" s="282">
        <f ca="1">Ruimtestaat!I198*$BC198</f>
        <v>0</v>
      </c>
      <c r="BJ198" s="283">
        <f ca="1">Ruimtestaat!J198*$BC198</f>
        <v>0</v>
      </c>
      <c r="BK198" s="553"/>
      <c r="BR198" s="278" t="str">
        <f>IF(Ruimtestaat!BC198="","",Ruimtestaat!BC198)</f>
        <v>WRV-OLW</v>
      </c>
      <c r="BS198" s="313">
        <f t="shared" si="7"/>
        <v>104</v>
      </c>
      <c r="BT198" s="280" t="str">
        <f ca="1">IF(BD198&gt;0,IF(ISNUMBER(Schoonmaaknormen!D198),Schoonmaaknormen!BD198/Schoonmaaknormen!D198,0),"")</f>
        <v/>
      </c>
      <c r="BU198" s="314" t="str">
        <f ca="1">IF(BE198&gt;0,IF(ISNUMBER(Schoonmaaknormen!E198),Schoonmaaknormen!BE198/Schoonmaaknormen!E198,0),"")</f>
        <v/>
      </c>
      <c r="BV198" s="314" t="str">
        <f ca="1">IF(BF198&gt;0,IF(ISNUMBER(Schoonmaaknormen!F198),Schoonmaaknormen!BF198/Schoonmaaknormen!F198,0),"")</f>
        <v/>
      </c>
      <c r="BW198" s="314" t="str">
        <f ca="1">IF(BG198&gt;0,IF(ISNUMBER(Schoonmaaknormen!G198),Schoonmaaknormen!BG198/Schoonmaaknormen!G198,0),"")</f>
        <v/>
      </c>
      <c r="BX198" s="314" t="str">
        <f ca="1">IF(BH198&gt;0,IF(ISNUMBER(Schoonmaaknormen!H198),Schoonmaaknormen!BH198/Schoonmaaknormen!H198,0),"")</f>
        <v/>
      </c>
      <c r="BY198" s="282" t="str">
        <f ca="1">IF(BI198&gt;0,IF(ISNUMBER(Schoonmaaknormen!I198),Schoonmaaknormen!BI198/Schoonmaaknormen!I198,0),"")</f>
        <v/>
      </c>
      <c r="BZ198" s="282" t="str">
        <f ca="1">IF(BJ198&gt;0,IF(ISNUMBER(Schoonmaaknormen!J198),Schoonmaaknormen!BJ198/Schoonmaaknormen!J198,0),"")</f>
        <v/>
      </c>
      <c r="CA198" s="549"/>
      <c r="CB198" s="553"/>
    </row>
    <row r="199" spans="1:80" ht="0.2" customHeight="1" x14ac:dyDescent="0.2">
      <c r="A199" s="172">
        <f ca="1">Ruimtestaat!A199</f>
        <v>0</v>
      </c>
      <c r="B199" s="557"/>
      <c r="C199" s="11">
        <v>52</v>
      </c>
      <c r="D199" s="309"/>
      <c r="E199" s="310"/>
      <c r="F199" s="310"/>
      <c r="G199" s="310"/>
      <c r="H199" s="310"/>
      <c r="I199" s="312"/>
      <c r="J199" s="312"/>
      <c r="K199" s="561"/>
      <c r="L199" s="553"/>
      <c r="M199" s="172" t="b">
        <f>IF(_xlfn.XLOOKUP(BB199,Tabel2[Locatiecode],Tabel2[Type locatie],"",0)="vaccin",TRUE,FALSE)</f>
        <v>0</v>
      </c>
      <c r="BB199" s="284" t="str">
        <f>IF(Ruimtestaat!BC199="","",Ruimtestaat!BC199)</f>
        <v>WRV-OLW</v>
      </c>
      <c r="BC199" s="285">
        <f t="shared" si="6"/>
        <v>52</v>
      </c>
      <c r="BD199" s="286">
        <f ca="1">Ruimtestaat!D199*$BC199</f>
        <v>0</v>
      </c>
      <c r="BE199" s="287">
        <f ca="1">Ruimtestaat!E199*$BC199</f>
        <v>0</v>
      </c>
      <c r="BF199" s="287">
        <f ca="1">Ruimtestaat!F199*$BC199</f>
        <v>0</v>
      </c>
      <c r="BG199" s="287">
        <f ca="1">Ruimtestaat!G199*$BC199</f>
        <v>0</v>
      </c>
      <c r="BH199" s="287">
        <f ca="1">Ruimtestaat!H199*$BC199</f>
        <v>0</v>
      </c>
      <c r="BI199" s="288">
        <f ca="1">Ruimtestaat!I199*$BC199</f>
        <v>0</v>
      </c>
      <c r="BJ199" s="289">
        <f ca="1">Ruimtestaat!J199*$BC199</f>
        <v>0</v>
      </c>
      <c r="BK199" s="553"/>
      <c r="BR199" s="284" t="str">
        <f>IF(Ruimtestaat!BC199="","",Ruimtestaat!BC199)</f>
        <v>WRV-OLW</v>
      </c>
      <c r="BS199" s="285">
        <f t="shared" si="7"/>
        <v>52</v>
      </c>
      <c r="BT199" s="286" t="str">
        <f ca="1">IF(BD199&gt;0,IF(ISNUMBER(Schoonmaaknormen!D199),Schoonmaaknormen!BD199/Schoonmaaknormen!D199,0),"")</f>
        <v/>
      </c>
      <c r="BU199" s="287" t="str">
        <f ca="1">IF(BE199&gt;0,IF(ISNUMBER(Schoonmaaknormen!E199),Schoonmaaknormen!BE199/Schoonmaaknormen!E199,0),"")</f>
        <v/>
      </c>
      <c r="BV199" s="287" t="str">
        <f ca="1">IF(BF199&gt;0,IF(ISNUMBER(Schoonmaaknormen!F199),Schoonmaaknormen!BF199/Schoonmaaknormen!F199,0),"")</f>
        <v/>
      </c>
      <c r="BW199" s="287" t="str">
        <f ca="1">IF(BG199&gt;0,IF(ISNUMBER(Schoonmaaknormen!G199),Schoonmaaknormen!BG199/Schoonmaaknormen!G199,0),"")</f>
        <v/>
      </c>
      <c r="BX199" s="287" t="str">
        <f ca="1">IF(BH199&gt;0,IF(ISNUMBER(Schoonmaaknormen!H199),Schoonmaaknormen!BH199/Schoonmaaknormen!H199,0),"")</f>
        <v/>
      </c>
      <c r="BY199" s="288" t="str">
        <f ca="1">IF(BI199&gt;0,IF(ISNUMBER(Schoonmaaknormen!I199),Schoonmaaknormen!BI199/Schoonmaaknormen!I199,0),"")</f>
        <v/>
      </c>
      <c r="BZ199" s="288" t="str">
        <f ca="1">IF(BJ199&gt;0,IF(ISNUMBER(Schoonmaaknormen!J199),Schoonmaaknormen!BJ199/Schoonmaaknormen!J199,0),"")</f>
        <v/>
      </c>
      <c r="CA199" s="549"/>
      <c r="CB199" s="553"/>
    </row>
    <row r="200" spans="1:80" ht="0.2" customHeight="1" x14ac:dyDescent="0.2">
      <c r="A200" s="172">
        <f ca="1">Ruimtestaat!A200</f>
        <v>2</v>
      </c>
      <c r="B200" s="558"/>
      <c r="C200" s="290">
        <v>4</v>
      </c>
      <c r="D200" s="186"/>
      <c r="E200" s="187"/>
      <c r="F200" s="187"/>
      <c r="G200" s="187"/>
      <c r="H200" s="187"/>
      <c r="I200" s="189"/>
      <c r="J200" s="189"/>
      <c r="K200" s="562"/>
      <c r="L200" s="554"/>
      <c r="M200" s="172" t="b">
        <f>IF(_xlfn.XLOOKUP(BB200,Tabel2[Locatiecode],Tabel2[Type locatie],"",0)="vaccin",TRUE,FALSE)</f>
        <v>0</v>
      </c>
      <c r="BB200" s="291" t="str">
        <f>IF(Ruimtestaat!BC200="","",Ruimtestaat!BC200)</f>
        <v>WRV-OLW</v>
      </c>
      <c r="BC200" s="292">
        <f t="shared" si="6"/>
        <v>4</v>
      </c>
      <c r="BD200" s="293">
        <f ca="1">Ruimtestaat!D200*$BC200</f>
        <v>0</v>
      </c>
      <c r="BE200" s="294">
        <f ca="1">Ruimtestaat!E200*$BC200</f>
        <v>0</v>
      </c>
      <c r="BF200" s="294">
        <f ca="1">Ruimtestaat!F200*$BC200</f>
        <v>0</v>
      </c>
      <c r="BG200" s="294">
        <f ca="1">Ruimtestaat!G200*$BC200</f>
        <v>0</v>
      </c>
      <c r="BH200" s="294">
        <f ca="1">Ruimtestaat!H200*$BC200</f>
        <v>0</v>
      </c>
      <c r="BI200" s="295">
        <f ca="1">Ruimtestaat!I200*$BC200</f>
        <v>0</v>
      </c>
      <c r="BJ200" s="296">
        <f ca="1">Ruimtestaat!J200*$BC200</f>
        <v>0</v>
      </c>
      <c r="BK200" s="554"/>
      <c r="BR200" s="291" t="str">
        <f>IF(Ruimtestaat!BC200="","",Ruimtestaat!BC200)</f>
        <v>WRV-OLW</v>
      </c>
      <c r="BS200" s="292">
        <f t="shared" si="7"/>
        <v>4</v>
      </c>
      <c r="BT200" s="293" t="str">
        <f ca="1">IF(BD200&gt;0,IF(ISNUMBER(Schoonmaaknormen!D200),Schoonmaaknormen!BD200/Schoonmaaknormen!D200,0),"")</f>
        <v/>
      </c>
      <c r="BU200" s="294" t="str">
        <f ca="1">IF(BE200&gt;0,IF(ISNUMBER(Schoonmaaknormen!E200),Schoonmaaknormen!BE200/Schoonmaaknormen!E200,0),"")</f>
        <v/>
      </c>
      <c r="BV200" s="294" t="str">
        <f ca="1">IF(BF200&gt;0,IF(ISNUMBER(Schoonmaaknormen!F200),Schoonmaaknormen!BF200/Schoonmaaknormen!F200,0),"")</f>
        <v/>
      </c>
      <c r="BW200" s="294" t="str">
        <f ca="1">IF(BG200&gt;0,IF(ISNUMBER(Schoonmaaknormen!G200),Schoonmaaknormen!BG200/Schoonmaaknormen!G200,0),"")</f>
        <v/>
      </c>
      <c r="BX200" s="294" t="str">
        <f ca="1">IF(BH200&gt;0,IF(ISNUMBER(Schoonmaaknormen!H200),Schoonmaaknormen!BH200/Schoonmaaknormen!H200,0),"")</f>
        <v/>
      </c>
      <c r="BY200" s="295" t="str">
        <f ca="1">IF(BI200&gt;0,IF(ISNUMBER(Schoonmaaknormen!I200),Schoonmaaknormen!BI200/Schoonmaaknormen!I200,0),"")</f>
        <v/>
      </c>
      <c r="BZ200" s="295" t="str">
        <f ca="1">IF(BJ200&gt;0,IF(ISNUMBER(Schoonmaaknormen!J200),Schoonmaaknormen!BJ200/Schoonmaaknormen!J200,0),"")</f>
        <v/>
      </c>
      <c r="CA200" s="555"/>
      <c r="CB200" s="554"/>
    </row>
    <row r="201" spans="1:80" ht="15" customHeight="1" thickBot="1" x14ac:dyDescent="0.25">
      <c r="A201" s="172">
        <f ca="1">Ruimtestaat!A201</f>
        <v>1</v>
      </c>
      <c r="B201" s="556" t="str">
        <f>BB201</f>
        <v>ZSW-BGR</v>
      </c>
      <c r="C201" s="298">
        <v>255</v>
      </c>
      <c r="D201" s="299"/>
      <c r="E201" s="300"/>
      <c r="F201" s="300"/>
      <c r="G201" s="300"/>
      <c r="H201" s="300"/>
      <c r="I201" s="302"/>
      <c r="J201" s="302"/>
      <c r="K201" s="559"/>
      <c r="L201" s="551" t="str" cm="1">
        <f t="array" aca="1" ref="L201" ca="1">_xlfn.IFS(A201=2,"",COUNTBLANK(D201:J206)=COUNTIF(Ruimtestaat!D201:J206,"&lt;=0"),BK201/CB201,TRUE,"")</f>
        <v/>
      </c>
      <c r="M201" s="172" t="b">
        <f>IF(_xlfn.XLOOKUP(BB201,Tabel2[Locatiecode],Tabel2[Type locatie],"",0)="vaccin",TRUE,FALSE)</f>
        <v>0</v>
      </c>
      <c r="BB201" s="303" t="str">
        <f>IF(Ruimtestaat!BC201="","",Ruimtestaat!BC201)</f>
        <v>ZSW-BGR</v>
      </c>
      <c r="BC201" s="304">
        <f t="shared" si="6"/>
        <v>255</v>
      </c>
      <c r="BD201" s="305">
        <f ca="1">Ruimtestaat!D201*$BC201</f>
        <v>15810</v>
      </c>
      <c r="BE201" s="306">
        <f>Ruimtestaat!E201*$BC201</f>
        <v>0</v>
      </c>
      <c r="BF201" s="306">
        <f ca="1">Ruimtestaat!F201*$BC201</f>
        <v>25984.5</v>
      </c>
      <c r="BG201" s="306">
        <f ca="1">Ruimtestaat!G201*$BC201</f>
        <v>0</v>
      </c>
      <c r="BH201" s="306">
        <f ca="1">Ruimtestaat!H201*$BC201</f>
        <v>612</v>
      </c>
      <c r="BI201" s="307">
        <f ca="1">Ruimtestaat!I201*$BC201</f>
        <v>1173</v>
      </c>
      <c r="BJ201" s="308">
        <f ca="1">Ruimtestaat!J201*$BC201</f>
        <v>0</v>
      </c>
      <c r="BK201" s="552">
        <f ca="1">SUM(BD201:BJ206)</f>
        <v>43579.5</v>
      </c>
      <c r="BR201" s="303" t="str">
        <f>IF(Ruimtestaat!BC201="","",Ruimtestaat!BC201)</f>
        <v>ZSW-BGR</v>
      </c>
      <c r="BS201" s="304">
        <f t="shared" si="7"/>
        <v>255</v>
      </c>
      <c r="BT201" s="305">
        <f ca="1">IF(BD201&gt;0,IF(ISNUMBER(Schoonmaaknormen!D201),Schoonmaaknormen!BD201/Schoonmaaknormen!D201,0),"")</f>
        <v>0</v>
      </c>
      <c r="BU201" s="306" t="str">
        <f>IF(BE201&gt;0,IF(ISNUMBER(Schoonmaaknormen!E201),Schoonmaaknormen!BE201/Schoonmaaknormen!E201,0),"")</f>
        <v/>
      </c>
      <c r="BV201" s="306">
        <f ca="1">IF(BF201&gt;0,IF(ISNUMBER(Schoonmaaknormen!F201),Schoonmaaknormen!BF201/Schoonmaaknormen!F201,0),"")</f>
        <v>0</v>
      </c>
      <c r="BW201" s="306" t="str">
        <f ca="1">IF(BG201&gt;0,IF(ISNUMBER(Schoonmaaknormen!G201),Schoonmaaknormen!BG201/Schoonmaaknormen!G201,0),"")</f>
        <v/>
      </c>
      <c r="BX201" s="306">
        <f ca="1">IF(BH201&gt;0,IF(ISNUMBER(Schoonmaaknormen!H201),Schoonmaaknormen!BH201/Schoonmaaknormen!H201,0),"")</f>
        <v>0</v>
      </c>
      <c r="BY201" s="315">
        <f ca="1">IF(BI201&gt;0,IF(ISNUMBER(Schoonmaaknormen!I201),Schoonmaaknormen!BI201/Schoonmaaknormen!I201,0),"")</f>
        <v>0</v>
      </c>
      <c r="BZ201" s="315" t="str">
        <f ca="1">IF(BJ201&gt;0,IF(ISNUMBER(Schoonmaaknormen!J201),Schoonmaaknormen!BJ201/Schoonmaaknormen!J201,0),"")</f>
        <v/>
      </c>
      <c r="CA201" s="547" t="str" cm="1">
        <f t="array" ref="CA201">IF(ISNUMBER(K201),IF(SUM(BT201:BZ206)/LARGE(_xlfn._xlws.FILTER(Ruimtestaat!BD:BD,Ruimtestaat!BC:BC=BR201),1)&lt;K201,K201*LARGE(_xlfn._xlws.FILTER(Ruimtestaat!BD:BD,Ruimtestaat!BC:BC=BR201),1)-SUM(BT201:BZ206),0),"")</f>
        <v/>
      </c>
      <c r="CB201" s="551">
        <f ca="1">SUM(BT201:CA206)</f>
        <v>0</v>
      </c>
    </row>
    <row r="202" spans="1:80" ht="0.2" customHeight="1" x14ac:dyDescent="0.2">
      <c r="A202" s="172">
        <f ca="1">Ruimtestaat!A202</f>
        <v>2</v>
      </c>
      <c r="B202" s="557"/>
      <c r="C202" s="11">
        <v>204</v>
      </c>
      <c r="D202" s="309"/>
      <c r="E202" s="310"/>
      <c r="F202" s="310"/>
      <c r="G202" s="310"/>
      <c r="H202" s="310"/>
      <c r="I202" s="312"/>
      <c r="J202" s="312"/>
      <c r="K202" s="560"/>
      <c r="L202" s="552"/>
      <c r="M202" s="172" t="b">
        <f>IF(_xlfn.XLOOKUP(BB202,Tabel2[Locatiecode],Tabel2[Type locatie],"",0)="vaccin",TRUE,FALSE)</f>
        <v>0</v>
      </c>
      <c r="BB202" s="272" t="str">
        <f>IF(Ruimtestaat!BC202="","",Ruimtestaat!BC202)</f>
        <v>ZSW-BGR</v>
      </c>
      <c r="BC202" s="273">
        <f t="shared" si="6"/>
        <v>204</v>
      </c>
      <c r="BD202" s="274">
        <f ca="1">Ruimtestaat!D202*$BC202</f>
        <v>0</v>
      </c>
      <c r="BE202" s="275">
        <f>Ruimtestaat!E202*$BC202</f>
        <v>0</v>
      </c>
      <c r="BF202" s="275">
        <f ca="1">Ruimtestaat!F202*$BC202</f>
        <v>0</v>
      </c>
      <c r="BG202" s="275">
        <f ca="1">Ruimtestaat!G202*$BC202</f>
        <v>0</v>
      </c>
      <c r="BH202" s="275">
        <f ca="1">Ruimtestaat!H202*$BC202</f>
        <v>0</v>
      </c>
      <c r="BI202" s="276">
        <f ca="1">Ruimtestaat!I202*$BC202</f>
        <v>0</v>
      </c>
      <c r="BJ202" s="277">
        <f ca="1">Ruimtestaat!J202*$BC202</f>
        <v>0</v>
      </c>
      <c r="BK202" s="552"/>
      <c r="BR202" s="272" t="str">
        <f>IF(Ruimtestaat!BC202="","",Ruimtestaat!BC202)</f>
        <v>ZSW-BGR</v>
      </c>
      <c r="BS202" s="273">
        <f t="shared" si="7"/>
        <v>204</v>
      </c>
      <c r="BT202" s="274" t="str">
        <f ca="1">IF(BD202&gt;0,IF(ISNUMBER(Schoonmaaknormen!D202),Schoonmaaknormen!BD202/Schoonmaaknormen!D202,0),"")</f>
        <v/>
      </c>
      <c r="BU202" s="275" t="str">
        <f>IF(BE202&gt;0,IF(ISNUMBER(Schoonmaaknormen!E202),Schoonmaaknormen!BE202/Schoonmaaknormen!E202,0),"")</f>
        <v/>
      </c>
      <c r="BV202" s="275" t="str">
        <f ca="1">IF(BF202&gt;0,IF(ISNUMBER(Schoonmaaknormen!F202),Schoonmaaknormen!BF202/Schoonmaaknormen!F202,0),"")</f>
        <v/>
      </c>
      <c r="BW202" s="275" t="str">
        <f ca="1">IF(BG202&gt;0,IF(ISNUMBER(Schoonmaaknormen!G202),Schoonmaaknormen!BG202/Schoonmaaknormen!G202,0),"")</f>
        <v/>
      </c>
      <c r="BX202" s="275" t="str">
        <f ca="1">IF(BH202&gt;0,IF(ISNUMBER(Schoonmaaknormen!H202),Schoonmaaknormen!BH202/Schoonmaaknormen!H202,0),"")</f>
        <v/>
      </c>
      <c r="BY202" s="276" t="str">
        <f ca="1">IF(BI202&gt;0,IF(ISNUMBER(Schoonmaaknormen!I202),Schoonmaaknormen!BI202/Schoonmaaknormen!I202,0),"")</f>
        <v/>
      </c>
      <c r="BZ202" s="276" t="str">
        <f ca="1">IF(BJ202&gt;0,IF(ISNUMBER(Schoonmaaknormen!J202),Schoonmaaknormen!BJ202/Schoonmaaknormen!J202,0),"")</f>
        <v/>
      </c>
      <c r="CA202" s="548"/>
      <c r="CB202" s="552"/>
    </row>
    <row r="203" spans="1:80" ht="0.2" customHeight="1" x14ac:dyDescent="0.2">
      <c r="A203" s="172">
        <f ca="1">Ruimtestaat!A203</f>
        <v>2</v>
      </c>
      <c r="B203" s="557"/>
      <c r="C203" s="11">
        <v>156</v>
      </c>
      <c r="D203" s="309"/>
      <c r="E203" s="310"/>
      <c r="F203" s="310"/>
      <c r="G203" s="310"/>
      <c r="H203" s="310"/>
      <c r="I203" s="312"/>
      <c r="J203" s="312"/>
      <c r="K203" s="560"/>
      <c r="L203" s="552"/>
      <c r="M203" s="172" t="b">
        <f>IF(_xlfn.XLOOKUP(BB203,Tabel2[Locatiecode],Tabel2[Type locatie],"",0)="vaccin",TRUE,FALSE)</f>
        <v>0</v>
      </c>
      <c r="BB203" s="272" t="str">
        <f>IF(Ruimtestaat!BC203="","",Ruimtestaat!BC203)</f>
        <v>ZSW-BGR</v>
      </c>
      <c r="BC203" s="273">
        <f t="shared" si="6"/>
        <v>156</v>
      </c>
      <c r="BD203" s="274">
        <f ca="1">Ruimtestaat!D203*$BC203</f>
        <v>0</v>
      </c>
      <c r="BE203" s="275">
        <f ca="1">Ruimtestaat!E203*$BC203</f>
        <v>0</v>
      </c>
      <c r="BF203" s="275">
        <f ca="1">Ruimtestaat!F203*$BC203</f>
        <v>0</v>
      </c>
      <c r="BG203" s="275">
        <f>Ruimtestaat!G203*$BC203</f>
        <v>0</v>
      </c>
      <c r="BH203" s="275">
        <f ca="1">Ruimtestaat!H203*$BC203</f>
        <v>0</v>
      </c>
      <c r="BI203" s="276">
        <f ca="1">Ruimtestaat!I203*$BC203</f>
        <v>0</v>
      </c>
      <c r="BJ203" s="277">
        <f ca="1">Ruimtestaat!J203*$BC203</f>
        <v>0</v>
      </c>
      <c r="BK203" s="552"/>
      <c r="BR203" s="272" t="str">
        <f>IF(Ruimtestaat!BC203="","",Ruimtestaat!BC203)</f>
        <v>ZSW-BGR</v>
      </c>
      <c r="BS203" s="273">
        <f t="shared" si="7"/>
        <v>156</v>
      </c>
      <c r="BT203" s="274" t="str">
        <f ca="1">IF(BD203&gt;0,IF(ISNUMBER(Schoonmaaknormen!D203),Schoonmaaknormen!BD203/Schoonmaaknormen!D203,0),"")</f>
        <v/>
      </c>
      <c r="BU203" s="275" t="str">
        <f ca="1">IF(BE203&gt;0,IF(ISNUMBER(Schoonmaaknormen!E203),Schoonmaaknormen!BE203/Schoonmaaknormen!E203,0),"")</f>
        <v/>
      </c>
      <c r="BV203" s="275" t="str">
        <f ca="1">IF(BF203&gt;0,IF(ISNUMBER(Schoonmaaknormen!F203),Schoonmaaknormen!BF203/Schoonmaaknormen!F203,0),"")</f>
        <v/>
      </c>
      <c r="BW203" s="275" t="str">
        <f>IF(BG203&gt;0,IF(ISNUMBER(Schoonmaaknormen!G203),Schoonmaaknormen!BG203/Schoonmaaknormen!G203,0),"")</f>
        <v/>
      </c>
      <c r="BX203" s="275" t="str">
        <f ca="1">IF(BH203&gt;0,IF(ISNUMBER(Schoonmaaknormen!H203),Schoonmaaknormen!BH203/Schoonmaaknormen!H203,0),"")</f>
        <v/>
      </c>
      <c r="BY203" s="276" t="str">
        <f ca="1">IF(BI203&gt;0,IF(ISNUMBER(Schoonmaaknormen!I203),Schoonmaaknormen!BI203/Schoonmaaknormen!I203,0),"")</f>
        <v/>
      </c>
      <c r="BZ203" s="276" t="str">
        <f ca="1">IF(BJ203&gt;0,IF(ISNUMBER(Schoonmaaknormen!J203),Schoonmaaknormen!BJ203/Schoonmaaknormen!J203,0),"")</f>
        <v/>
      </c>
      <c r="CA203" s="548"/>
      <c r="CB203" s="552"/>
    </row>
    <row r="204" spans="1:80" ht="0.2" customHeight="1" x14ac:dyDescent="0.2">
      <c r="A204" s="172">
        <f ca="1">Ruimtestaat!A204</f>
        <v>2</v>
      </c>
      <c r="B204" s="557"/>
      <c r="C204" s="11">
        <v>104</v>
      </c>
      <c r="D204" s="309"/>
      <c r="E204" s="310"/>
      <c r="F204" s="310"/>
      <c r="G204" s="310"/>
      <c r="H204" s="310"/>
      <c r="I204" s="312"/>
      <c r="J204" s="312"/>
      <c r="K204" s="561"/>
      <c r="L204" s="553"/>
      <c r="M204" s="172" t="b">
        <f>IF(_xlfn.XLOOKUP(BB204,Tabel2[Locatiecode],Tabel2[Type locatie],"",0)="vaccin",TRUE,FALSE)</f>
        <v>0</v>
      </c>
      <c r="BB204" s="278" t="str">
        <f>IF(Ruimtestaat!BC204="","",Ruimtestaat!BC204)</f>
        <v>ZSW-BGR</v>
      </c>
      <c r="BC204" s="279">
        <f t="shared" si="6"/>
        <v>104</v>
      </c>
      <c r="BD204" s="280">
        <f ca="1">Ruimtestaat!D204*$BC204</f>
        <v>0</v>
      </c>
      <c r="BE204" s="281">
        <f ca="1">Ruimtestaat!E204*$BC204</f>
        <v>0</v>
      </c>
      <c r="BF204" s="281">
        <f ca="1">Ruimtestaat!F204*$BC204</f>
        <v>0</v>
      </c>
      <c r="BG204" s="281">
        <f>Ruimtestaat!G204*$BC204</f>
        <v>0</v>
      </c>
      <c r="BH204" s="281">
        <f ca="1">Ruimtestaat!H204*$BC204</f>
        <v>0</v>
      </c>
      <c r="BI204" s="282">
        <f ca="1">Ruimtestaat!I204*$BC204</f>
        <v>0</v>
      </c>
      <c r="BJ204" s="283">
        <f ca="1">Ruimtestaat!J204*$BC204</f>
        <v>0</v>
      </c>
      <c r="BK204" s="553"/>
      <c r="BR204" s="278" t="str">
        <f>IF(Ruimtestaat!BC204="","",Ruimtestaat!BC204)</f>
        <v>ZSW-BGR</v>
      </c>
      <c r="BS204" s="313">
        <f t="shared" si="7"/>
        <v>104</v>
      </c>
      <c r="BT204" s="280" t="str">
        <f ca="1">IF(BD204&gt;0,IF(ISNUMBER(Schoonmaaknormen!D204),Schoonmaaknormen!BD204/Schoonmaaknormen!D204,0),"")</f>
        <v/>
      </c>
      <c r="BU204" s="314" t="str">
        <f ca="1">IF(BE204&gt;0,IF(ISNUMBER(Schoonmaaknormen!E204),Schoonmaaknormen!BE204/Schoonmaaknormen!E204,0),"")</f>
        <v/>
      </c>
      <c r="BV204" s="314" t="str">
        <f ca="1">IF(BF204&gt;0,IF(ISNUMBER(Schoonmaaknormen!F204),Schoonmaaknormen!BF204/Schoonmaaknormen!F204,0),"")</f>
        <v/>
      </c>
      <c r="BW204" s="314" t="str">
        <f>IF(BG204&gt;0,IF(ISNUMBER(Schoonmaaknormen!G204),Schoonmaaknormen!BG204/Schoonmaaknormen!G204,0),"")</f>
        <v/>
      </c>
      <c r="BX204" s="314" t="str">
        <f ca="1">IF(BH204&gt;0,IF(ISNUMBER(Schoonmaaknormen!H204),Schoonmaaknormen!BH204/Schoonmaaknormen!H204,0),"")</f>
        <v/>
      </c>
      <c r="BY204" s="282" t="str">
        <f ca="1">IF(BI204&gt;0,IF(ISNUMBER(Schoonmaaknormen!I204),Schoonmaaknormen!BI204/Schoonmaaknormen!I204,0),"")</f>
        <v/>
      </c>
      <c r="BZ204" s="282" t="str">
        <f ca="1">IF(BJ204&gt;0,IF(ISNUMBER(Schoonmaaknormen!J204),Schoonmaaknormen!BJ204/Schoonmaaknormen!J204,0),"")</f>
        <v/>
      </c>
      <c r="CA204" s="549"/>
      <c r="CB204" s="553"/>
    </row>
    <row r="205" spans="1:80" ht="0.2" customHeight="1" x14ac:dyDescent="0.2">
      <c r="A205" s="172">
        <f ca="1">Ruimtestaat!A205</f>
        <v>0</v>
      </c>
      <c r="B205" s="557"/>
      <c r="C205" s="11">
        <v>52</v>
      </c>
      <c r="D205" s="309"/>
      <c r="E205" s="310"/>
      <c r="F205" s="310"/>
      <c r="G205" s="310"/>
      <c r="H205" s="310"/>
      <c r="I205" s="312"/>
      <c r="J205" s="312"/>
      <c r="K205" s="561"/>
      <c r="L205" s="553"/>
      <c r="M205" s="172" t="b">
        <f>IF(_xlfn.XLOOKUP(BB205,Tabel2[Locatiecode],Tabel2[Type locatie],"",0)="vaccin",TRUE,FALSE)</f>
        <v>0</v>
      </c>
      <c r="BB205" s="284" t="str">
        <f>IF(Ruimtestaat!BC205="","",Ruimtestaat!BC205)</f>
        <v>ZSW-BGR</v>
      </c>
      <c r="BC205" s="285">
        <f t="shared" si="6"/>
        <v>52</v>
      </c>
      <c r="BD205" s="286">
        <f ca="1">Ruimtestaat!D205*$BC205</f>
        <v>0</v>
      </c>
      <c r="BE205" s="287">
        <f ca="1">Ruimtestaat!E205*$BC205</f>
        <v>0</v>
      </c>
      <c r="BF205" s="287">
        <f ca="1">Ruimtestaat!F205*$BC205</f>
        <v>0</v>
      </c>
      <c r="BG205" s="287">
        <f ca="1">Ruimtestaat!G205*$BC205</f>
        <v>0</v>
      </c>
      <c r="BH205" s="287">
        <f ca="1">Ruimtestaat!H205*$BC205</f>
        <v>0</v>
      </c>
      <c r="BI205" s="288">
        <f ca="1">Ruimtestaat!I205*$BC205</f>
        <v>0</v>
      </c>
      <c r="BJ205" s="289">
        <f ca="1">Ruimtestaat!J205*$BC205</f>
        <v>0</v>
      </c>
      <c r="BK205" s="553"/>
      <c r="BR205" s="284" t="str">
        <f>IF(Ruimtestaat!BC205="","",Ruimtestaat!BC205)</f>
        <v>ZSW-BGR</v>
      </c>
      <c r="BS205" s="285">
        <f t="shared" si="7"/>
        <v>52</v>
      </c>
      <c r="BT205" s="286" t="str">
        <f ca="1">IF(BD205&gt;0,IF(ISNUMBER(Schoonmaaknormen!D205),Schoonmaaknormen!BD205/Schoonmaaknormen!D205,0),"")</f>
        <v/>
      </c>
      <c r="BU205" s="287" t="str">
        <f ca="1">IF(BE205&gt;0,IF(ISNUMBER(Schoonmaaknormen!E205),Schoonmaaknormen!BE205/Schoonmaaknormen!E205,0),"")</f>
        <v/>
      </c>
      <c r="BV205" s="287" t="str">
        <f ca="1">IF(BF205&gt;0,IF(ISNUMBER(Schoonmaaknormen!F205),Schoonmaaknormen!BF205/Schoonmaaknormen!F205,0),"")</f>
        <v/>
      </c>
      <c r="BW205" s="287" t="str">
        <f ca="1">IF(BG205&gt;0,IF(ISNUMBER(Schoonmaaknormen!G205),Schoonmaaknormen!BG205/Schoonmaaknormen!G205,0),"")</f>
        <v/>
      </c>
      <c r="BX205" s="287" t="str">
        <f ca="1">IF(BH205&gt;0,IF(ISNUMBER(Schoonmaaknormen!H205),Schoonmaaknormen!BH205/Schoonmaaknormen!H205,0),"")</f>
        <v/>
      </c>
      <c r="BY205" s="288" t="str">
        <f ca="1">IF(BI205&gt;0,IF(ISNUMBER(Schoonmaaknormen!I205),Schoonmaaknormen!BI205/Schoonmaaknormen!I205,0),"")</f>
        <v/>
      </c>
      <c r="BZ205" s="288" t="str">
        <f ca="1">IF(BJ205&gt;0,IF(ISNUMBER(Schoonmaaknormen!J205),Schoonmaaknormen!BJ205/Schoonmaaknormen!J205,0),"")</f>
        <v/>
      </c>
      <c r="CA205" s="549"/>
      <c r="CB205" s="553"/>
    </row>
    <row r="206" spans="1:80" ht="0.2" customHeight="1" x14ac:dyDescent="0.2">
      <c r="A206" s="172">
        <f ca="1">Ruimtestaat!A206</f>
        <v>2</v>
      </c>
      <c r="B206" s="558"/>
      <c r="C206" s="290">
        <v>4</v>
      </c>
      <c r="D206" s="186"/>
      <c r="E206" s="187"/>
      <c r="F206" s="187"/>
      <c r="G206" s="187"/>
      <c r="H206" s="187"/>
      <c r="I206" s="189"/>
      <c r="J206" s="189"/>
      <c r="K206" s="562"/>
      <c r="L206" s="554"/>
      <c r="M206" s="172" t="b">
        <f>IF(_xlfn.XLOOKUP(BB206,Tabel2[Locatiecode],Tabel2[Type locatie],"",0)="vaccin",TRUE,FALSE)</f>
        <v>0</v>
      </c>
      <c r="BB206" s="291" t="str">
        <f>IF(Ruimtestaat!BC206="","",Ruimtestaat!BC206)</f>
        <v>ZSW-BGR</v>
      </c>
      <c r="BC206" s="292">
        <f t="shared" si="6"/>
        <v>4</v>
      </c>
      <c r="BD206" s="293">
        <f ca="1">Ruimtestaat!D206*$BC206</f>
        <v>0</v>
      </c>
      <c r="BE206" s="294">
        <f ca="1">Ruimtestaat!E206*$BC206</f>
        <v>0</v>
      </c>
      <c r="BF206" s="294">
        <f ca="1">Ruimtestaat!F206*$BC206</f>
        <v>0</v>
      </c>
      <c r="BG206" s="294">
        <f ca="1">Ruimtestaat!G206*$BC206</f>
        <v>0</v>
      </c>
      <c r="BH206" s="294">
        <f ca="1">Ruimtestaat!H206*$BC206</f>
        <v>0</v>
      </c>
      <c r="BI206" s="295">
        <f ca="1">Ruimtestaat!I206*$BC206</f>
        <v>0</v>
      </c>
      <c r="BJ206" s="296">
        <f ca="1">Ruimtestaat!J206*$BC206</f>
        <v>0</v>
      </c>
      <c r="BK206" s="554"/>
      <c r="BR206" s="291" t="str">
        <f>IF(Ruimtestaat!BC206="","",Ruimtestaat!BC206)</f>
        <v>ZSW-BGR</v>
      </c>
      <c r="BS206" s="292">
        <f t="shared" si="7"/>
        <v>4</v>
      </c>
      <c r="BT206" s="293" t="str">
        <f ca="1">IF(BD206&gt;0,IF(ISNUMBER(Schoonmaaknormen!D206),Schoonmaaknormen!BD206/Schoonmaaknormen!D206,0),"")</f>
        <v/>
      </c>
      <c r="BU206" s="294" t="str">
        <f ca="1">IF(BE206&gt;0,IF(ISNUMBER(Schoonmaaknormen!E206),Schoonmaaknormen!BE206/Schoonmaaknormen!E206,0),"")</f>
        <v/>
      </c>
      <c r="BV206" s="294" t="str">
        <f ca="1">IF(BF206&gt;0,IF(ISNUMBER(Schoonmaaknormen!F206),Schoonmaaknormen!BF206/Schoonmaaknormen!F206,0),"")</f>
        <v/>
      </c>
      <c r="BW206" s="294" t="str">
        <f ca="1">IF(BG206&gt;0,IF(ISNUMBER(Schoonmaaknormen!G206),Schoonmaaknormen!BG206/Schoonmaaknormen!G206,0),"")</f>
        <v/>
      </c>
      <c r="BX206" s="294" t="str">
        <f ca="1">IF(BH206&gt;0,IF(ISNUMBER(Schoonmaaknormen!H206),Schoonmaaknormen!BH206/Schoonmaaknormen!H206,0),"")</f>
        <v/>
      </c>
      <c r="BY206" s="295" t="str">
        <f ca="1">IF(BI206&gt;0,IF(ISNUMBER(Schoonmaaknormen!I206),Schoonmaaknormen!BI206/Schoonmaaknormen!I206,0),"")</f>
        <v/>
      </c>
      <c r="BZ206" s="295" t="str">
        <f ca="1">IF(BJ206&gt;0,IF(ISNUMBER(Schoonmaaknormen!J206),Schoonmaaknormen!BJ206/Schoonmaaknormen!J206,0),"")</f>
        <v/>
      </c>
      <c r="CA206" s="555"/>
      <c r="CB206" s="554"/>
    </row>
    <row r="207" spans="1:80" ht="0.2" customHeight="1" x14ac:dyDescent="0.2">
      <c r="A207" s="172">
        <f ca="1">Ruimtestaat!A207</f>
        <v>2</v>
      </c>
      <c r="B207" s="556" t="str">
        <f>BB207</f>
        <v/>
      </c>
      <c r="C207" s="298">
        <v>255</v>
      </c>
      <c r="D207" s="299"/>
      <c r="E207" s="300"/>
      <c r="F207" s="301"/>
      <c r="G207" s="300"/>
      <c r="H207" s="300"/>
      <c r="I207" s="302"/>
      <c r="J207" s="302"/>
      <c r="K207" s="559"/>
      <c r="L207" s="551" t="str" cm="1">
        <f t="array" aca="1" ref="L207" ca="1">_xlfn.IFS(A207=2,"",COUNTBLANK(D207:J212)=COUNTIF(Ruimtestaat!D207:J212,"&lt;=0"),BK207/CB207,TRUE,"")</f>
        <v/>
      </c>
      <c r="M207" s="172" t="b">
        <f>IF(_xlfn.XLOOKUP(BB207,Tabel2[Locatiecode],Tabel2[Type locatie],"",0)="vaccin",TRUE,FALSE)</f>
        <v>0</v>
      </c>
      <c r="BB207" s="303" t="str">
        <f>IF(Ruimtestaat!BC207="","",Ruimtestaat!BC207)</f>
        <v/>
      </c>
      <c r="BC207" s="304">
        <f t="shared" si="6"/>
        <v>255</v>
      </c>
      <c r="BD207" s="305">
        <f ca="1">Ruimtestaat!D207*$BC207</f>
        <v>0</v>
      </c>
      <c r="BE207" s="306">
        <f ca="1">Ruimtestaat!E207*$BC207</f>
        <v>0</v>
      </c>
      <c r="BF207" s="306">
        <f ca="1">Ruimtestaat!F207*$BC207</f>
        <v>0</v>
      </c>
      <c r="BG207" s="306">
        <f ca="1">Ruimtestaat!G207*$BC207</f>
        <v>0</v>
      </c>
      <c r="BH207" s="306">
        <f ca="1">Ruimtestaat!H207*$BC207</f>
        <v>0</v>
      </c>
      <c r="BI207" s="307">
        <f ca="1">Ruimtestaat!I207*$BC207</f>
        <v>0</v>
      </c>
      <c r="BJ207" s="308">
        <f>Ruimtestaat!J207*$BC207</f>
        <v>0</v>
      </c>
      <c r="BK207" s="552">
        <f ca="1">SUM(BD207:BJ212)</f>
        <v>0</v>
      </c>
      <c r="BR207" s="303" t="str">
        <f>IF(Ruimtestaat!BC207="","",Ruimtestaat!BC207)</f>
        <v/>
      </c>
      <c r="BS207" s="304">
        <f t="shared" si="7"/>
        <v>255</v>
      </c>
      <c r="BT207" s="305" t="str">
        <f ca="1">IF(BD207&gt;0,IF(ISNUMBER(Schoonmaaknormen!D207),Schoonmaaknormen!BD207/Schoonmaaknormen!D207,0),"")</f>
        <v/>
      </c>
      <c r="BU207" s="306" t="str">
        <f ca="1">IF(BE207&gt;0,IF(ISNUMBER(Schoonmaaknormen!E207),Schoonmaaknormen!BE207/Schoonmaaknormen!E207,0),"")</f>
        <v/>
      </c>
      <c r="BV207" s="306" t="str">
        <f ca="1">IF(BF207&gt;0,IF(ISNUMBER(Schoonmaaknormen!F207),Schoonmaaknormen!BF207/Schoonmaaknormen!F207,0),"")</f>
        <v/>
      </c>
      <c r="BW207" s="306" t="str">
        <f ca="1">IF(BG207&gt;0,IF(ISNUMBER(Schoonmaaknormen!G207),Schoonmaaknormen!BG207/Schoonmaaknormen!G207,0),"")</f>
        <v/>
      </c>
      <c r="BX207" s="306" t="str">
        <f ca="1">IF(BH207&gt;0,IF(ISNUMBER(Schoonmaaknormen!H207),Schoonmaaknormen!BH207/Schoonmaaknormen!H207,0),"")</f>
        <v/>
      </c>
      <c r="BY207" s="315" t="str">
        <f ca="1">IF(BI207&gt;0,IF(ISNUMBER(Schoonmaaknormen!I207),Schoonmaaknormen!BI207/Schoonmaaknormen!I207,0),"")</f>
        <v/>
      </c>
      <c r="BZ207" s="315" t="str">
        <f>IF(BJ207&gt;0,IF(ISNUMBER(Schoonmaaknormen!J207),Schoonmaaknormen!BJ207/Schoonmaaknormen!J207,0),"")</f>
        <v/>
      </c>
      <c r="CA207" s="547" t="str" cm="1">
        <f t="array" ref="CA207">IF(ISNUMBER(K207),IF(SUM(BT207:BZ212)/LARGE(_xlfn._xlws.FILTER(Ruimtestaat!BD:BD,Ruimtestaat!BC:BC=BR207),1)&lt;K207,K207*LARGE(_xlfn._xlws.FILTER(Ruimtestaat!BD:BD,Ruimtestaat!BC:BC=BR207),1)-SUM(BT207:BZ212),0),"")</f>
        <v/>
      </c>
      <c r="CB207" s="551">
        <f ca="1">SUM(BT207:CA212)</f>
        <v>0</v>
      </c>
    </row>
    <row r="208" spans="1:80" ht="0.2" customHeight="1" x14ac:dyDescent="0.2">
      <c r="A208" s="172">
        <f ca="1">Ruimtestaat!A208</f>
        <v>2</v>
      </c>
      <c r="B208" s="557"/>
      <c r="C208" s="11">
        <v>204</v>
      </c>
      <c r="D208" s="309"/>
      <c r="E208" s="310"/>
      <c r="F208" s="311"/>
      <c r="G208" s="310"/>
      <c r="H208" s="310"/>
      <c r="I208" s="312"/>
      <c r="J208" s="312"/>
      <c r="K208" s="560"/>
      <c r="L208" s="552"/>
      <c r="M208" s="172" t="b">
        <f>IF(_xlfn.XLOOKUP(BB208,Tabel2[Locatiecode],Tabel2[Type locatie],"",0)="vaccin",TRUE,FALSE)</f>
        <v>0</v>
      </c>
      <c r="BB208" s="272" t="str">
        <f>IF(Ruimtestaat!BC208="","",Ruimtestaat!BC208)</f>
        <v/>
      </c>
      <c r="BC208" s="273">
        <f t="shared" si="6"/>
        <v>204</v>
      </c>
      <c r="BD208" s="274">
        <f ca="1">Ruimtestaat!D208*$BC208</f>
        <v>0</v>
      </c>
      <c r="BE208" s="275">
        <f>Ruimtestaat!E208*$BC208</f>
        <v>0</v>
      </c>
      <c r="BF208" s="275">
        <f ca="1">Ruimtestaat!F208*$BC208</f>
        <v>0</v>
      </c>
      <c r="BG208" s="275">
        <f ca="1">Ruimtestaat!G208*$BC208</f>
        <v>0</v>
      </c>
      <c r="BH208" s="275">
        <f ca="1">Ruimtestaat!H208*$BC208</f>
        <v>0</v>
      </c>
      <c r="BI208" s="276">
        <f ca="1">Ruimtestaat!I208*$BC208</f>
        <v>0</v>
      </c>
      <c r="BJ208" s="277">
        <f ca="1">Ruimtestaat!J208*$BC208</f>
        <v>0</v>
      </c>
      <c r="BK208" s="552"/>
      <c r="BR208" s="272" t="str">
        <f>IF(Ruimtestaat!BC208="","",Ruimtestaat!BC208)</f>
        <v/>
      </c>
      <c r="BS208" s="273">
        <f t="shared" si="7"/>
        <v>204</v>
      </c>
      <c r="BT208" s="274" t="str">
        <f ca="1">IF(BD208&gt;0,IF(ISNUMBER(Schoonmaaknormen!D208),Schoonmaaknormen!BD208/Schoonmaaknormen!D208,0),"")</f>
        <v/>
      </c>
      <c r="BU208" s="275" t="str">
        <f>IF(BE208&gt;0,IF(ISNUMBER(Schoonmaaknormen!E208),Schoonmaaknormen!BE208/Schoonmaaknormen!E208,0),"")</f>
        <v/>
      </c>
      <c r="BV208" s="275" t="str">
        <f ca="1">IF(BF208&gt;0,IF(ISNUMBER(Schoonmaaknormen!F208),Schoonmaaknormen!BF208/Schoonmaaknormen!F208,0),"")</f>
        <v/>
      </c>
      <c r="BW208" s="275" t="str">
        <f ca="1">IF(BG208&gt;0,IF(ISNUMBER(Schoonmaaknormen!G208),Schoonmaaknormen!BG208/Schoonmaaknormen!G208,0),"")</f>
        <v/>
      </c>
      <c r="BX208" s="275" t="str">
        <f ca="1">IF(BH208&gt;0,IF(ISNUMBER(Schoonmaaknormen!H208),Schoonmaaknormen!BH208/Schoonmaaknormen!H208,0),"")</f>
        <v/>
      </c>
      <c r="BY208" s="276" t="str">
        <f ca="1">IF(BI208&gt;0,IF(ISNUMBER(Schoonmaaknormen!I208),Schoonmaaknormen!BI208/Schoonmaaknormen!I208,0),"")</f>
        <v/>
      </c>
      <c r="BZ208" s="276" t="str">
        <f ca="1">IF(BJ208&gt;0,IF(ISNUMBER(Schoonmaaknormen!J208),Schoonmaaknormen!BJ208/Schoonmaaknormen!J208,0),"")</f>
        <v/>
      </c>
      <c r="CA208" s="548"/>
      <c r="CB208" s="552"/>
    </row>
    <row r="209" spans="1:80" ht="0.2" customHeight="1" x14ac:dyDescent="0.2">
      <c r="A209" s="172">
        <f ca="1">Ruimtestaat!A209</f>
        <v>2</v>
      </c>
      <c r="B209" s="557"/>
      <c r="C209" s="11">
        <v>156</v>
      </c>
      <c r="D209" s="309"/>
      <c r="E209" s="310"/>
      <c r="F209" s="311"/>
      <c r="G209" s="310"/>
      <c r="H209" s="310"/>
      <c r="I209" s="312"/>
      <c r="J209" s="312"/>
      <c r="K209" s="560"/>
      <c r="L209" s="552"/>
      <c r="M209" s="172" t="b">
        <f>IF(_xlfn.XLOOKUP(BB209,Tabel2[Locatiecode],Tabel2[Type locatie],"",0)="vaccin",TRUE,FALSE)</f>
        <v>0</v>
      </c>
      <c r="BB209" s="272" t="str">
        <f>IF(Ruimtestaat!BC209="","",Ruimtestaat!BC209)</f>
        <v/>
      </c>
      <c r="BC209" s="273">
        <f t="shared" si="6"/>
        <v>156</v>
      </c>
      <c r="BD209" s="274">
        <f ca="1">Ruimtestaat!D209*$BC209</f>
        <v>0</v>
      </c>
      <c r="BE209" s="275">
        <f>Ruimtestaat!E209*$BC209</f>
        <v>0</v>
      </c>
      <c r="BF209" s="275">
        <f>Ruimtestaat!F209*$BC209</f>
        <v>0</v>
      </c>
      <c r="BG209" s="275">
        <f ca="1">Ruimtestaat!G209*$BC209</f>
        <v>0</v>
      </c>
      <c r="BH209" s="275">
        <f ca="1">Ruimtestaat!H209*$BC209</f>
        <v>0</v>
      </c>
      <c r="BI209" s="276">
        <f ca="1">Ruimtestaat!I209*$BC209</f>
        <v>0</v>
      </c>
      <c r="BJ209" s="277">
        <f ca="1">Ruimtestaat!J209*$BC209</f>
        <v>0</v>
      </c>
      <c r="BK209" s="552"/>
      <c r="BR209" s="272" t="str">
        <f>IF(Ruimtestaat!BC209="","",Ruimtestaat!BC209)</f>
        <v/>
      </c>
      <c r="BS209" s="273">
        <f t="shared" si="7"/>
        <v>156</v>
      </c>
      <c r="BT209" s="274" t="str">
        <f ca="1">IF(BD209&gt;0,IF(ISNUMBER(Schoonmaaknormen!D209),Schoonmaaknormen!BD209/Schoonmaaknormen!D209,0),"")</f>
        <v/>
      </c>
      <c r="BU209" s="275" t="str">
        <f>IF(BE209&gt;0,IF(ISNUMBER(Schoonmaaknormen!E209),Schoonmaaknormen!BE209/Schoonmaaknormen!E209,0),"")</f>
        <v/>
      </c>
      <c r="BV209" s="275" t="str">
        <f>IF(BF209&gt;0,IF(ISNUMBER(Schoonmaaknormen!F209),Schoonmaaknormen!BF209/Schoonmaaknormen!F209,0),"")</f>
        <v/>
      </c>
      <c r="BW209" s="275" t="str">
        <f ca="1">IF(BG209&gt;0,IF(ISNUMBER(Schoonmaaknormen!G209),Schoonmaaknormen!BG209/Schoonmaaknormen!G209,0),"")</f>
        <v/>
      </c>
      <c r="BX209" s="275" t="str">
        <f ca="1">IF(BH209&gt;0,IF(ISNUMBER(Schoonmaaknormen!H209),Schoonmaaknormen!BH209/Schoonmaaknormen!H209,0),"")</f>
        <v/>
      </c>
      <c r="BY209" s="276" t="str">
        <f ca="1">IF(BI209&gt;0,IF(ISNUMBER(Schoonmaaknormen!I209),Schoonmaaknormen!BI209/Schoonmaaknormen!I209,0),"")</f>
        <v/>
      </c>
      <c r="BZ209" s="276" t="str">
        <f ca="1">IF(BJ209&gt;0,IF(ISNUMBER(Schoonmaaknormen!J209),Schoonmaaknormen!BJ209/Schoonmaaknormen!J209,0),"")</f>
        <v/>
      </c>
      <c r="CA209" s="548"/>
      <c r="CB209" s="552"/>
    </row>
    <row r="210" spans="1:80" ht="0.2" customHeight="1" x14ac:dyDescent="0.2">
      <c r="A210" s="172">
        <f ca="1">Ruimtestaat!A210</f>
        <v>2</v>
      </c>
      <c r="B210" s="557"/>
      <c r="C210" s="11">
        <v>104</v>
      </c>
      <c r="D210" s="309"/>
      <c r="E210" s="310"/>
      <c r="F210" s="311"/>
      <c r="G210" s="310"/>
      <c r="H210" s="310"/>
      <c r="I210" s="312"/>
      <c r="J210" s="312"/>
      <c r="K210" s="561"/>
      <c r="L210" s="553"/>
      <c r="M210" s="172" t="b">
        <f>IF(_xlfn.XLOOKUP(BB210,Tabel2[Locatiecode],Tabel2[Type locatie],"",0)="vaccin",TRUE,FALSE)</f>
        <v>0</v>
      </c>
      <c r="BB210" s="278" t="str">
        <f>IF(Ruimtestaat!BC210="","",Ruimtestaat!BC210)</f>
        <v/>
      </c>
      <c r="BC210" s="279">
        <f t="shared" si="6"/>
        <v>104</v>
      </c>
      <c r="BD210" s="280">
        <f ca="1">Ruimtestaat!D210*$BC210</f>
        <v>0</v>
      </c>
      <c r="BE210" s="281">
        <f>Ruimtestaat!E210*$BC210</f>
        <v>0</v>
      </c>
      <c r="BF210" s="281">
        <f>Ruimtestaat!F210*$BC210</f>
        <v>0</v>
      </c>
      <c r="BG210" s="281">
        <f>Ruimtestaat!G210*$BC210</f>
        <v>0</v>
      </c>
      <c r="BH210" s="281">
        <f>Ruimtestaat!H210*$BC210</f>
        <v>0</v>
      </c>
      <c r="BI210" s="282">
        <f ca="1">Ruimtestaat!I210*$BC210</f>
        <v>0</v>
      </c>
      <c r="BJ210" s="283">
        <f ca="1">Ruimtestaat!J210*$BC210</f>
        <v>0</v>
      </c>
      <c r="BK210" s="553"/>
      <c r="BR210" s="278" t="str">
        <f>IF(Ruimtestaat!BC210="","",Ruimtestaat!BC210)</f>
        <v/>
      </c>
      <c r="BS210" s="313">
        <f t="shared" si="7"/>
        <v>104</v>
      </c>
      <c r="BT210" s="280" t="str">
        <f ca="1">IF(BD210&gt;0,IF(ISNUMBER(Schoonmaaknormen!D210),Schoonmaaknormen!BD210/Schoonmaaknormen!D210,0),"")</f>
        <v/>
      </c>
      <c r="BU210" s="314" t="str">
        <f>IF(BE210&gt;0,IF(ISNUMBER(Schoonmaaknormen!E210),Schoonmaaknormen!BE210/Schoonmaaknormen!E210,0),"")</f>
        <v/>
      </c>
      <c r="BV210" s="314" t="str">
        <f>IF(BF210&gt;0,IF(ISNUMBER(Schoonmaaknormen!F210),Schoonmaaknormen!BF210/Schoonmaaknormen!F210,0),"")</f>
        <v/>
      </c>
      <c r="BW210" s="314" t="str">
        <f>IF(BG210&gt;0,IF(ISNUMBER(Schoonmaaknormen!G210),Schoonmaaknormen!BG210/Schoonmaaknormen!G210,0),"")</f>
        <v/>
      </c>
      <c r="BX210" s="314" t="str">
        <f>IF(BH210&gt;0,IF(ISNUMBER(Schoonmaaknormen!H210),Schoonmaaknormen!BH210/Schoonmaaknormen!H210,0),"")</f>
        <v/>
      </c>
      <c r="BY210" s="282" t="str">
        <f ca="1">IF(BI210&gt;0,IF(ISNUMBER(Schoonmaaknormen!I210),Schoonmaaknormen!BI210/Schoonmaaknormen!I210,0),"")</f>
        <v/>
      </c>
      <c r="BZ210" s="282" t="str">
        <f ca="1">IF(BJ210&gt;0,IF(ISNUMBER(Schoonmaaknormen!J210),Schoonmaaknormen!BJ210/Schoonmaaknormen!J210,0),"")</f>
        <v/>
      </c>
      <c r="CA210" s="549"/>
      <c r="CB210" s="553"/>
    </row>
    <row r="211" spans="1:80" ht="0.2" customHeight="1" x14ac:dyDescent="0.2">
      <c r="A211" s="172">
        <f ca="1">Ruimtestaat!A211</f>
        <v>2</v>
      </c>
      <c r="B211" s="557"/>
      <c r="C211" s="11">
        <v>52</v>
      </c>
      <c r="D211" s="309"/>
      <c r="E211" s="310"/>
      <c r="F211" s="311"/>
      <c r="G211" s="310"/>
      <c r="H211" s="310"/>
      <c r="I211" s="312"/>
      <c r="J211" s="312"/>
      <c r="K211" s="561"/>
      <c r="L211" s="553"/>
      <c r="M211" s="172" t="b">
        <f>IF(_xlfn.XLOOKUP(BB211,Tabel2[Locatiecode],Tabel2[Type locatie],"",0)="vaccin",TRUE,FALSE)</f>
        <v>0</v>
      </c>
      <c r="BB211" s="284" t="str">
        <f>IF(Ruimtestaat!BC211="","",Ruimtestaat!BC211)</f>
        <v/>
      </c>
      <c r="BC211" s="285">
        <f t="shared" si="6"/>
        <v>52</v>
      </c>
      <c r="BD211" s="286">
        <f ca="1">Ruimtestaat!D211*$BC211</f>
        <v>0</v>
      </c>
      <c r="BE211" s="287">
        <f ca="1">Ruimtestaat!E211*$BC211</f>
        <v>0</v>
      </c>
      <c r="BF211" s="287">
        <f>Ruimtestaat!F211*$BC211</f>
        <v>0</v>
      </c>
      <c r="BG211" s="287">
        <f>Ruimtestaat!G211*$BC211</f>
        <v>0</v>
      </c>
      <c r="BH211" s="287">
        <f>Ruimtestaat!H211*$BC211</f>
        <v>0</v>
      </c>
      <c r="BI211" s="288">
        <f ca="1">Ruimtestaat!I211*$BC211</f>
        <v>0</v>
      </c>
      <c r="BJ211" s="289">
        <f ca="1">Ruimtestaat!J211*$BC211</f>
        <v>0</v>
      </c>
      <c r="BK211" s="553"/>
      <c r="BR211" s="284" t="str">
        <f>IF(Ruimtestaat!BC211="","",Ruimtestaat!BC211)</f>
        <v/>
      </c>
      <c r="BS211" s="285">
        <f t="shared" si="7"/>
        <v>52</v>
      </c>
      <c r="BT211" s="286" t="str">
        <f ca="1">IF(BD211&gt;0,IF(ISNUMBER(Schoonmaaknormen!D211),Schoonmaaknormen!BD211/Schoonmaaknormen!D211,0),"")</f>
        <v/>
      </c>
      <c r="BU211" s="287" t="str">
        <f ca="1">IF(BE211&gt;0,IF(ISNUMBER(Schoonmaaknormen!E211),Schoonmaaknormen!BE211/Schoonmaaknormen!E211,0),"")</f>
        <v/>
      </c>
      <c r="BV211" s="287" t="str">
        <f>IF(BF211&gt;0,IF(ISNUMBER(Schoonmaaknormen!F211),Schoonmaaknormen!BF211/Schoonmaaknormen!F211,0),"")</f>
        <v/>
      </c>
      <c r="BW211" s="287" t="str">
        <f>IF(BG211&gt;0,IF(ISNUMBER(Schoonmaaknormen!G211),Schoonmaaknormen!BG211/Schoonmaaknormen!G211,0),"")</f>
        <v/>
      </c>
      <c r="BX211" s="287" t="str">
        <f>IF(BH211&gt;0,IF(ISNUMBER(Schoonmaaknormen!H211),Schoonmaaknormen!BH211/Schoonmaaknormen!H211,0),"")</f>
        <v/>
      </c>
      <c r="BY211" s="288" t="str">
        <f ca="1">IF(BI211&gt;0,IF(ISNUMBER(Schoonmaaknormen!I211),Schoonmaaknormen!BI211/Schoonmaaknormen!I211,0),"")</f>
        <v/>
      </c>
      <c r="BZ211" s="288" t="str">
        <f ca="1">IF(BJ211&gt;0,IF(ISNUMBER(Schoonmaaknormen!J211),Schoonmaaknormen!BJ211/Schoonmaaknormen!J211,0),"")</f>
        <v/>
      </c>
      <c r="CA211" s="549"/>
      <c r="CB211" s="553"/>
    </row>
    <row r="212" spans="1:80" ht="0.2" customHeight="1" x14ac:dyDescent="0.2">
      <c r="A212" s="172">
        <f ca="1">Ruimtestaat!A212</f>
        <v>2</v>
      </c>
      <c r="B212" s="558"/>
      <c r="C212" s="290">
        <v>4</v>
      </c>
      <c r="D212" s="186"/>
      <c r="E212" s="187"/>
      <c r="F212" s="188"/>
      <c r="G212" s="187"/>
      <c r="H212" s="187"/>
      <c r="I212" s="189"/>
      <c r="J212" s="189"/>
      <c r="K212" s="562"/>
      <c r="L212" s="554"/>
      <c r="M212" s="172" t="b">
        <f>IF(_xlfn.XLOOKUP(BB212,Tabel2[Locatiecode],Tabel2[Type locatie],"",0)="vaccin",TRUE,FALSE)</f>
        <v>0</v>
      </c>
      <c r="BB212" s="291" t="str">
        <f>IF(Ruimtestaat!BC212="","",Ruimtestaat!BC212)</f>
        <v/>
      </c>
      <c r="BC212" s="292">
        <f t="shared" si="6"/>
        <v>4</v>
      </c>
      <c r="BD212" s="293">
        <f ca="1">Ruimtestaat!D212*$BC212</f>
        <v>0</v>
      </c>
      <c r="BE212" s="294">
        <f ca="1">Ruimtestaat!E212*$BC212</f>
        <v>0</v>
      </c>
      <c r="BF212" s="294">
        <f ca="1">Ruimtestaat!F212*$BC212</f>
        <v>0</v>
      </c>
      <c r="BG212" s="294">
        <f>Ruimtestaat!G212*$BC212</f>
        <v>0</v>
      </c>
      <c r="BH212" s="294">
        <f>Ruimtestaat!H212*$BC212</f>
        <v>0</v>
      </c>
      <c r="BI212" s="295">
        <f ca="1">Ruimtestaat!I212*$BC212</f>
        <v>0</v>
      </c>
      <c r="BJ212" s="296">
        <f ca="1">Ruimtestaat!J212*$BC212</f>
        <v>0</v>
      </c>
      <c r="BK212" s="554"/>
      <c r="BR212" s="291" t="str">
        <f>IF(Ruimtestaat!BC212="","",Ruimtestaat!BC212)</f>
        <v/>
      </c>
      <c r="BS212" s="292">
        <f t="shared" si="7"/>
        <v>4</v>
      </c>
      <c r="BT212" s="293" t="str">
        <f ca="1">IF(BD212&gt;0,IF(ISNUMBER(Schoonmaaknormen!D212),Schoonmaaknormen!BD212/Schoonmaaknormen!D212,0),"")</f>
        <v/>
      </c>
      <c r="BU212" s="294" t="str">
        <f ca="1">IF(BE212&gt;0,IF(ISNUMBER(Schoonmaaknormen!E212),Schoonmaaknormen!BE212/Schoonmaaknormen!E212,0),"")</f>
        <v/>
      </c>
      <c r="BV212" s="294" t="str">
        <f ca="1">IF(BF212&gt;0,IF(ISNUMBER(Schoonmaaknormen!F212),Schoonmaaknormen!BF212/Schoonmaaknormen!F212,0),"")</f>
        <v/>
      </c>
      <c r="BW212" s="294" t="str">
        <f>IF(BG212&gt;0,IF(ISNUMBER(Schoonmaaknormen!G212),Schoonmaaknormen!BG212/Schoonmaaknormen!G212,0),"")</f>
        <v/>
      </c>
      <c r="BX212" s="294" t="str">
        <f>IF(BH212&gt;0,IF(ISNUMBER(Schoonmaaknormen!H212),Schoonmaaknormen!BH212/Schoonmaaknormen!H212,0),"")</f>
        <v/>
      </c>
      <c r="BY212" s="295" t="str">
        <f ca="1">IF(BI212&gt;0,IF(ISNUMBER(Schoonmaaknormen!I212),Schoonmaaknormen!BI212/Schoonmaaknormen!I212,0),"")</f>
        <v/>
      </c>
      <c r="BZ212" s="295" t="str">
        <f ca="1">IF(BJ212&gt;0,IF(ISNUMBER(Schoonmaaknormen!J212),Schoonmaaknormen!BJ212/Schoonmaaknormen!J212,0),"")</f>
        <v/>
      </c>
      <c r="CA212" s="555"/>
      <c r="CB212" s="554"/>
    </row>
    <row r="213" spans="1:80" ht="0.2" customHeight="1" x14ac:dyDescent="0.2">
      <c r="A213" s="172">
        <f ca="1">Ruimtestaat!A213</f>
        <v>2</v>
      </c>
      <c r="B213" s="556" t="str">
        <f>BB213</f>
        <v/>
      </c>
      <c r="C213" s="298">
        <v>255</v>
      </c>
      <c r="D213" s="299"/>
      <c r="E213" s="300"/>
      <c r="F213" s="301"/>
      <c r="G213" s="300"/>
      <c r="H213" s="300"/>
      <c r="I213" s="302"/>
      <c r="J213" s="302"/>
      <c r="K213" s="559"/>
      <c r="L213" s="551" t="str" cm="1">
        <f t="array" aca="1" ref="L213" ca="1">_xlfn.IFS(A213=2,"",COUNTBLANK(D213:J218)=COUNTIF(Ruimtestaat!D213:J218,"&lt;=0"),BK213/CB213,TRUE,"")</f>
        <v/>
      </c>
      <c r="M213" s="172" t="b">
        <f>IF(_xlfn.XLOOKUP(BB213,Tabel2[Locatiecode],Tabel2[Type locatie],"",0)="vaccin",TRUE,FALSE)</f>
        <v>0</v>
      </c>
      <c r="BB213" s="303" t="str">
        <f>IF(Ruimtestaat!BC213="","",Ruimtestaat!BC213)</f>
        <v/>
      </c>
      <c r="BC213" s="304">
        <f t="shared" si="6"/>
        <v>255</v>
      </c>
      <c r="BD213" s="305">
        <f ca="1">Ruimtestaat!D213*$BC213</f>
        <v>0</v>
      </c>
      <c r="BE213" s="306">
        <f ca="1">Ruimtestaat!E213*$BC213</f>
        <v>0</v>
      </c>
      <c r="BF213" s="306">
        <f ca="1">Ruimtestaat!F213*$BC213</f>
        <v>0</v>
      </c>
      <c r="BG213" s="306">
        <f ca="1">Ruimtestaat!G213*$BC213</f>
        <v>0</v>
      </c>
      <c r="BH213" s="306">
        <f>Ruimtestaat!H213*$BC213</f>
        <v>0</v>
      </c>
      <c r="BI213" s="307">
        <f>Ruimtestaat!I213*$BC213</f>
        <v>0</v>
      </c>
      <c r="BJ213" s="308">
        <f>Ruimtestaat!J213*$BC213</f>
        <v>0</v>
      </c>
      <c r="BK213" s="552">
        <f ca="1">SUM(BD213:BJ218)</f>
        <v>0</v>
      </c>
      <c r="BR213" s="303" t="str">
        <f>IF(Ruimtestaat!BC213="","",Ruimtestaat!BC213)</f>
        <v/>
      </c>
      <c r="BS213" s="304">
        <f t="shared" si="7"/>
        <v>255</v>
      </c>
      <c r="BT213" s="305" t="str">
        <f ca="1">IF(BD213&gt;0,IF(ISNUMBER(Schoonmaaknormen!D213),Schoonmaaknormen!BD213/Schoonmaaknormen!D213,0),"")</f>
        <v/>
      </c>
      <c r="BU213" s="306" t="str">
        <f ca="1">IF(BE213&gt;0,IF(ISNUMBER(Schoonmaaknormen!E213),Schoonmaaknormen!BE213/Schoonmaaknormen!E213,0),"")</f>
        <v/>
      </c>
      <c r="BV213" s="306" t="str">
        <f ca="1">IF(BF213&gt;0,IF(ISNUMBER(Schoonmaaknormen!F213),Schoonmaaknormen!BF213/Schoonmaaknormen!F213,0),"")</f>
        <v/>
      </c>
      <c r="BW213" s="306" t="str">
        <f ca="1">IF(BG213&gt;0,IF(ISNUMBER(Schoonmaaknormen!G213),Schoonmaaknormen!BG213/Schoonmaaknormen!G213,0),"")</f>
        <v/>
      </c>
      <c r="BX213" s="306" t="str">
        <f>IF(BH213&gt;0,IF(ISNUMBER(Schoonmaaknormen!H213),Schoonmaaknormen!BH213/Schoonmaaknormen!H213,0),"")</f>
        <v/>
      </c>
      <c r="BY213" s="315" t="str">
        <f>IF(BI213&gt;0,IF(ISNUMBER(Schoonmaaknormen!I213),Schoonmaaknormen!BI213/Schoonmaaknormen!I213,0),"")</f>
        <v/>
      </c>
      <c r="BZ213" s="315" t="str">
        <f>IF(BJ213&gt;0,IF(ISNUMBER(Schoonmaaknormen!J213),Schoonmaaknormen!BJ213/Schoonmaaknormen!J213,0),"")</f>
        <v/>
      </c>
      <c r="CA213" s="547" t="str" cm="1">
        <f t="array" ref="CA213">IF(ISNUMBER(K213),IF(SUM(BT213:BZ218)/LARGE(_xlfn._xlws.FILTER(Ruimtestaat!BD:BD,Ruimtestaat!BC:BC=BR213),1)&lt;K213,K213*LARGE(_xlfn._xlws.FILTER(Ruimtestaat!BD:BD,Ruimtestaat!BC:BC=BR213),1)-SUM(BT213:BZ218),0),"")</f>
        <v/>
      </c>
      <c r="CB213" s="551">
        <f ca="1">SUM(BT213:CA218)</f>
        <v>0</v>
      </c>
    </row>
    <row r="214" spans="1:80" ht="0.2" customHeight="1" x14ac:dyDescent="0.2">
      <c r="A214" s="172">
        <f ca="1">Ruimtestaat!A214</f>
        <v>2</v>
      </c>
      <c r="B214" s="557"/>
      <c r="C214" s="11">
        <v>204</v>
      </c>
      <c r="D214" s="309"/>
      <c r="E214" s="310"/>
      <c r="F214" s="311"/>
      <c r="G214" s="310"/>
      <c r="H214" s="310"/>
      <c r="I214" s="312"/>
      <c r="J214" s="312"/>
      <c r="K214" s="560"/>
      <c r="L214" s="552"/>
      <c r="M214" s="172" t="b">
        <f>IF(_xlfn.XLOOKUP(BB214,Tabel2[Locatiecode],Tabel2[Type locatie],"",0)="vaccin",TRUE,FALSE)</f>
        <v>0</v>
      </c>
      <c r="BB214" s="272" t="str">
        <f>IF(Ruimtestaat!BC214="","",Ruimtestaat!BC214)</f>
        <v/>
      </c>
      <c r="BC214" s="273">
        <f t="shared" si="6"/>
        <v>204</v>
      </c>
      <c r="BD214" s="274">
        <f ca="1">Ruimtestaat!D214*$BC214</f>
        <v>0</v>
      </c>
      <c r="BE214" s="275">
        <f ca="1">Ruimtestaat!E214*$BC214</f>
        <v>0</v>
      </c>
      <c r="BF214" s="275">
        <f ca="1">Ruimtestaat!F214*$BC214</f>
        <v>0</v>
      </c>
      <c r="BG214" s="275">
        <f ca="1">Ruimtestaat!G214*$BC214</f>
        <v>0</v>
      </c>
      <c r="BH214" s="275">
        <f ca="1">Ruimtestaat!H214*$BC214</f>
        <v>0</v>
      </c>
      <c r="BI214" s="276">
        <f>Ruimtestaat!I214*$BC214</f>
        <v>0</v>
      </c>
      <c r="BJ214" s="277">
        <f>Ruimtestaat!J214*$BC214</f>
        <v>0</v>
      </c>
      <c r="BK214" s="552"/>
      <c r="BR214" s="272" t="str">
        <f>IF(Ruimtestaat!BC214="","",Ruimtestaat!BC214)</f>
        <v/>
      </c>
      <c r="BS214" s="273">
        <f t="shared" si="7"/>
        <v>204</v>
      </c>
      <c r="BT214" s="274" t="str">
        <f ca="1">IF(BD214&gt;0,IF(ISNUMBER(Schoonmaaknormen!D214),Schoonmaaknormen!BD214/Schoonmaaknormen!D214,0),"")</f>
        <v/>
      </c>
      <c r="BU214" s="275" t="str">
        <f ca="1">IF(BE214&gt;0,IF(ISNUMBER(Schoonmaaknormen!E214),Schoonmaaknormen!BE214/Schoonmaaknormen!E214,0),"")</f>
        <v/>
      </c>
      <c r="BV214" s="275" t="str">
        <f ca="1">IF(BF214&gt;0,IF(ISNUMBER(Schoonmaaknormen!F214),Schoonmaaknormen!BF214/Schoonmaaknormen!F214,0),"")</f>
        <v/>
      </c>
      <c r="BW214" s="275" t="str">
        <f ca="1">IF(BG214&gt;0,IF(ISNUMBER(Schoonmaaknormen!G214),Schoonmaaknormen!BG214/Schoonmaaknormen!G214,0),"")</f>
        <v/>
      </c>
      <c r="BX214" s="275" t="str">
        <f ca="1">IF(BH214&gt;0,IF(ISNUMBER(Schoonmaaknormen!H214),Schoonmaaknormen!BH214/Schoonmaaknormen!H214,0),"")</f>
        <v/>
      </c>
      <c r="BY214" s="276" t="str">
        <f>IF(BI214&gt;0,IF(ISNUMBER(Schoonmaaknormen!I214),Schoonmaaknormen!BI214/Schoonmaaknormen!I214,0),"")</f>
        <v/>
      </c>
      <c r="BZ214" s="276" t="str">
        <f>IF(BJ214&gt;0,IF(ISNUMBER(Schoonmaaknormen!J214),Schoonmaaknormen!BJ214/Schoonmaaknormen!J214,0),"")</f>
        <v/>
      </c>
      <c r="CA214" s="548"/>
      <c r="CB214" s="552"/>
    </row>
    <row r="215" spans="1:80" ht="0.2" customHeight="1" x14ac:dyDescent="0.2">
      <c r="A215" s="172">
        <f ca="1">Ruimtestaat!A215</f>
        <v>2</v>
      </c>
      <c r="B215" s="557"/>
      <c r="C215" s="11">
        <v>156</v>
      </c>
      <c r="D215" s="309"/>
      <c r="E215" s="310"/>
      <c r="F215" s="311"/>
      <c r="G215" s="310"/>
      <c r="H215" s="310"/>
      <c r="I215" s="312"/>
      <c r="J215" s="312"/>
      <c r="K215" s="560"/>
      <c r="L215" s="552"/>
      <c r="M215" s="172" t="b">
        <f>IF(_xlfn.XLOOKUP(BB215,Tabel2[Locatiecode],Tabel2[Type locatie],"",0)="vaccin",TRUE,FALSE)</f>
        <v>0</v>
      </c>
      <c r="BB215" s="272" t="str">
        <f>IF(Ruimtestaat!BC215="","",Ruimtestaat!BC215)</f>
        <v/>
      </c>
      <c r="BC215" s="273">
        <f t="shared" si="6"/>
        <v>156</v>
      </c>
      <c r="BD215" s="274">
        <f ca="1">Ruimtestaat!D215*$BC215</f>
        <v>0</v>
      </c>
      <c r="BE215" s="275">
        <f ca="1">Ruimtestaat!E215*$BC215</f>
        <v>0</v>
      </c>
      <c r="BF215" s="275">
        <f ca="1">Ruimtestaat!F215*$BC215</f>
        <v>0</v>
      </c>
      <c r="BG215" s="275">
        <f ca="1">Ruimtestaat!G215*$BC215</f>
        <v>0</v>
      </c>
      <c r="BH215" s="275">
        <f ca="1">Ruimtestaat!H215*$BC215</f>
        <v>0</v>
      </c>
      <c r="BI215" s="276">
        <f ca="1">Ruimtestaat!I215*$BC215</f>
        <v>0</v>
      </c>
      <c r="BJ215" s="277">
        <f>Ruimtestaat!J215*$BC215</f>
        <v>0</v>
      </c>
      <c r="BK215" s="552"/>
      <c r="BR215" s="272" t="str">
        <f>IF(Ruimtestaat!BC215="","",Ruimtestaat!BC215)</f>
        <v/>
      </c>
      <c r="BS215" s="273">
        <f t="shared" si="7"/>
        <v>156</v>
      </c>
      <c r="BT215" s="274" t="str">
        <f ca="1">IF(BD215&gt;0,IF(ISNUMBER(Schoonmaaknormen!D215),Schoonmaaknormen!BD215/Schoonmaaknormen!D215,0),"")</f>
        <v/>
      </c>
      <c r="BU215" s="275" t="str">
        <f ca="1">IF(BE215&gt;0,IF(ISNUMBER(Schoonmaaknormen!E215),Schoonmaaknormen!BE215/Schoonmaaknormen!E215,0),"")</f>
        <v/>
      </c>
      <c r="BV215" s="275" t="str">
        <f ca="1">IF(BF215&gt;0,IF(ISNUMBER(Schoonmaaknormen!F215),Schoonmaaknormen!BF215/Schoonmaaknormen!F215,0),"")</f>
        <v/>
      </c>
      <c r="BW215" s="275" t="str">
        <f ca="1">IF(BG215&gt;0,IF(ISNUMBER(Schoonmaaknormen!G215),Schoonmaaknormen!BG215/Schoonmaaknormen!G215,0),"")</f>
        <v/>
      </c>
      <c r="BX215" s="275" t="str">
        <f ca="1">IF(BH215&gt;0,IF(ISNUMBER(Schoonmaaknormen!H215),Schoonmaaknormen!BH215/Schoonmaaknormen!H215,0),"")</f>
        <v/>
      </c>
      <c r="BY215" s="276" t="str">
        <f ca="1">IF(BI215&gt;0,IF(ISNUMBER(Schoonmaaknormen!I215),Schoonmaaknormen!BI215/Schoonmaaknormen!I215,0),"")</f>
        <v/>
      </c>
      <c r="BZ215" s="276" t="str">
        <f>IF(BJ215&gt;0,IF(ISNUMBER(Schoonmaaknormen!J215),Schoonmaaknormen!BJ215/Schoonmaaknormen!J215,0),"")</f>
        <v/>
      </c>
      <c r="CA215" s="548"/>
      <c r="CB215" s="552"/>
    </row>
    <row r="216" spans="1:80" ht="0.2" customHeight="1" x14ac:dyDescent="0.2">
      <c r="A216" s="172">
        <f ca="1">Ruimtestaat!A216</f>
        <v>2</v>
      </c>
      <c r="B216" s="557"/>
      <c r="C216" s="11">
        <v>104</v>
      </c>
      <c r="D216" s="309"/>
      <c r="E216" s="310"/>
      <c r="F216" s="311"/>
      <c r="G216" s="310"/>
      <c r="H216" s="310"/>
      <c r="I216" s="312"/>
      <c r="J216" s="312"/>
      <c r="K216" s="561"/>
      <c r="L216" s="553"/>
      <c r="M216" s="172" t="b">
        <f>IF(_xlfn.XLOOKUP(BB216,Tabel2[Locatiecode],Tabel2[Type locatie],"",0)="vaccin",TRUE,FALSE)</f>
        <v>0</v>
      </c>
      <c r="BB216" s="278" t="str">
        <f>IF(Ruimtestaat!BC216="","",Ruimtestaat!BC216)</f>
        <v/>
      </c>
      <c r="BC216" s="279">
        <f t="shared" si="6"/>
        <v>104</v>
      </c>
      <c r="BD216" s="280">
        <f ca="1">Ruimtestaat!D216*$BC216</f>
        <v>0</v>
      </c>
      <c r="BE216" s="281">
        <f>Ruimtestaat!E216*$BC216</f>
        <v>0</v>
      </c>
      <c r="BF216" s="281">
        <f>Ruimtestaat!F216*$BC216</f>
        <v>0</v>
      </c>
      <c r="BG216" s="281">
        <f ca="1">Ruimtestaat!G216*$BC216</f>
        <v>0</v>
      </c>
      <c r="BH216" s="281">
        <f ca="1">Ruimtestaat!H216*$BC216</f>
        <v>0</v>
      </c>
      <c r="BI216" s="282">
        <f ca="1">Ruimtestaat!I216*$BC216</f>
        <v>0</v>
      </c>
      <c r="BJ216" s="283">
        <f ca="1">Ruimtestaat!J216*$BC216</f>
        <v>0</v>
      </c>
      <c r="BK216" s="553"/>
      <c r="BR216" s="278" t="str">
        <f>IF(Ruimtestaat!BC216="","",Ruimtestaat!BC216)</f>
        <v/>
      </c>
      <c r="BS216" s="313">
        <f t="shared" si="7"/>
        <v>104</v>
      </c>
      <c r="BT216" s="280" t="str">
        <f ca="1">IF(BD216&gt;0,IF(ISNUMBER(Schoonmaaknormen!D216),Schoonmaaknormen!BD216/Schoonmaaknormen!D216,0),"")</f>
        <v/>
      </c>
      <c r="BU216" s="314" t="str">
        <f>IF(BE216&gt;0,IF(ISNUMBER(Schoonmaaknormen!E216),Schoonmaaknormen!BE216/Schoonmaaknormen!E216,0),"")</f>
        <v/>
      </c>
      <c r="BV216" s="314" t="str">
        <f>IF(BF216&gt;0,IF(ISNUMBER(Schoonmaaknormen!F216),Schoonmaaknormen!BF216/Schoonmaaknormen!F216,0),"")</f>
        <v/>
      </c>
      <c r="BW216" s="314" t="str">
        <f ca="1">IF(BG216&gt;0,IF(ISNUMBER(Schoonmaaknormen!G216),Schoonmaaknormen!BG216/Schoonmaaknormen!G216,0),"")</f>
        <v/>
      </c>
      <c r="BX216" s="314" t="str">
        <f ca="1">IF(BH216&gt;0,IF(ISNUMBER(Schoonmaaknormen!H216),Schoonmaaknormen!BH216/Schoonmaaknormen!H216,0),"")</f>
        <v/>
      </c>
      <c r="BY216" s="282" t="str">
        <f ca="1">IF(BI216&gt;0,IF(ISNUMBER(Schoonmaaknormen!I216),Schoonmaaknormen!BI216/Schoonmaaknormen!I216,0),"")</f>
        <v/>
      </c>
      <c r="BZ216" s="282" t="str">
        <f ca="1">IF(BJ216&gt;0,IF(ISNUMBER(Schoonmaaknormen!J216),Schoonmaaknormen!BJ216/Schoonmaaknormen!J216,0),"")</f>
        <v/>
      </c>
      <c r="CA216" s="549"/>
      <c r="CB216" s="553"/>
    </row>
    <row r="217" spans="1:80" ht="0.2" customHeight="1" x14ac:dyDescent="0.2">
      <c r="A217" s="172">
        <f ca="1">Ruimtestaat!A217</f>
        <v>2</v>
      </c>
      <c r="B217" s="557"/>
      <c r="C217" s="11">
        <v>52</v>
      </c>
      <c r="D217" s="309"/>
      <c r="E217" s="310"/>
      <c r="F217" s="311"/>
      <c r="G217" s="310"/>
      <c r="H217" s="310"/>
      <c r="I217" s="312"/>
      <c r="J217" s="312"/>
      <c r="K217" s="561"/>
      <c r="L217" s="553"/>
      <c r="M217" s="172" t="b">
        <f>IF(_xlfn.XLOOKUP(BB217,Tabel2[Locatiecode],Tabel2[Type locatie],"",0)="vaccin",TRUE,FALSE)</f>
        <v>0</v>
      </c>
      <c r="BB217" s="284" t="str">
        <f>IF(Ruimtestaat!BC217="","",Ruimtestaat!BC217)</f>
        <v/>
      </c>
      <c r="BC217" s="285">
        <f t="shared" si="6"/>
        <v>52</v>
      </c>
      <c r="BD217" s="286">
        <f ca="1">Ruimtestaat!D217*$BC217</f>
        <v>0</v>
      </c>
      <c r="BE217" s="287">
        <f>Ruimtestaat!E217*$BC217</f>
        <v>0</v>
      </c>
      <c r="BF217" s="287">
        <f>Ruimtestaat!F217*$BC217</f>
        <v>0</v>
      </c>
      <c r="BG217" s="287">
        <f ca="1">Ruimtestaat!G217*$BC217</f>
        <v>0</v>
      </c>
      <c r="BH217" s="287">
        <f ca="1">Ruimtestaat!H217*$BC217</f>
        <v>0</v>
      </c>
      <c r="BI217" s="288">
        <f ca="1">Ruimtestaat!I217*$BC217</f>
        <v>0</v>
      </c>
      <c r="BJ217" s="289">
        <f ca="1">Ruimtestaat!J217*$BC217</f>
        <v>0</v>
      </c>
      <c r="BK217" s="553"/>
      <c r="BR217" s="284" t="str">
        <f>IF(Ruimtestaat!BC217="","",Ruimtestaat!BC217)</f>
        <v/>
      </c>
      <c r="BS217" s="285">
        <f t="shared" si="7"/>
        <v>52</v>
      </c>
      <c r="BT217" s="286" t="str">
        <f ca="1">IF(BD217&gt;0,IF(ISNUMBER(Schoonmaaknormen!D217),Schoonmaaknormen!BD217/Schoonmaaknormen!D217,0),"")</f>
        <v/>
      </c>
      <c r="BU217" s="287" t="str">
        <f>IF(BE217&gt;0,IF(ISNUMBER(Schoonmaaknormen!E217),Schoonmaaknormen!BE217/Schoonmaaknormen!E217,0),"")</f>
        <v/>
      </c>
      <c r="BV217" s="287" t="str">
        <f>IF(BF217&gt;0,IF(ISNUMBER(Schoonmaaknormen!F217),Schoonmaaknormen!BF217/Schoonmaaknormen!F217,0),"")</f>
        <v/>
      </c>
      <c r="BW217" s="287" t="str">
        <f ca="1">IF(BG217&gt;0,IF(ISNUMBER(Schoonmaaknormen!G217),Schoonmaaknormen!BG217/Schoonmaaknormen!G217,0),"")</f>
        <v/>
      </c>
      <c r="BX217" s="287" t="str">
        <f ca="1">IF(BH217&gt;0,IF(ISNUMBER(Schoonmaaknormen!H217),Schoonmaaknormen!BH217/Schoonmaaknormen!H217,0),"")</f>
        <v/>
      </c>
      <c r="BY217" s="288" t="str">
        <f ca="1">IF(BI217&gt;0,IF(ISNUMBER(Schoonmaaknormen!I217),Schoonmaaknormen!BI217/Schoonmaaknormen!I217,0),"")</f>
        <v/>
      </c>
      <c r="BZ217" s="288" t="str">
        <f ca="1">IF(BJ217&gt;0,IF(ISNUMBER(Schoonmaaknormen!J217),Schoonmaaknormen!BJ217/Schoonmaaknormen!J217,0),"")</f>
        <v/>
      </c>
      <c r="CA217" s="549"/>
      <c r="CB217" s="553"/>
    </row>
    <row r="218" spans="1:80" ht="0.2" customHeight="1" x14ac:dyDescent="0.2">
      <c r="A218" s="172">
        <f ca="1">Ruimtestaat!A218</f>
        <v>2</v>
      </c>
      <c r="B218" s="558"/>
      <c r="C218" s="290">
        <v>4</v>
      </c>
      <c r="D218" s="186"/>
      <c r="E218" s="187"/>
      <c r="F218" s="188"/>
      <c r="G218" s="187"/>
      <c r="H218" s="187"/>
      <c r="I218" s="189"/>
      <c r="J218" s="189"/>
      <c r="K218" s="562"/>
      <c r="L218" s="554"/>
      <c r="M218" s="172" t="b">
        <f>IF(_xlfn.XLOOKUP(BB218,Tabel2[Locatiecode],Tabel2[Type locatie],"",0)="vaccin",TRUE,FALSE)</f>
        <v>0</v>
      </c>
      <c r="BB218" s="291" t="str">
        <f>IF(Ruimtestaat!BC218="","",Ruimtestaat!BC218)</f>
        <v/>
      </c>
      <c r="BC218" s="292">
        <f t="shared" si="6"/>
        <v>4</v>
      </c>
      <c r="BD218" s="293">
        <f ca="1">Ruimtestaat!D218*$BC218</f>
        <v>0</v>
      </c>
      <c r="BE218" s="294">
        <f>Ruimtestaat!E218*$BC218</f>
        <v>0</v>
      </c>
      <c r="BF218" s="294">
        <f>Ruimtestaat!F218*$BC218</f>
        <v>0</v>
      </c>
      <c r="BG218" s="294">
        <f ca="1">Ruimtestaat!G218*$BC218</f>
        <v>0</v>
      </c>
      <c r="BH218" s="294">
        <f ca="1">Ruimtestaat!H218*$BC218</f>
        <v>0</v>
      </c>
      <c r="BI218" s="295">
        <f ca="1">Ruimtestaat!I218*$BC218</f>
        <v>0</v>
      </c>
      <c r="BJ218" s="296">
        <f ca="1">Ruimtestaat!J218*$BC218</f>
        <v>0</v>
      </c>
      <c r="BK218" s="554"/>
      <c r="BR218" s="291" t="str">
        <f>IF(Ruimtestaat!BC218="","",Ruimtestaat!BC218)</f>
        <v/>
      </c>
      <c r="BS218" s="292">
        <f t="shared" si="7"/>
        <v>4</v>
      </c>
      <c r="BT218" s="293" t="str">
        <f ca="1">IF(BD218&gt;0,IF(ISNUMBER(Schoonmaaknormen!D218),Schoonmaaknormen!BD218/Schoonmaaknormen!D218,0),"")</f>
        <v/>
      </c>
      <c r="BU218" s="294" t="str">
        <f>IF(BE218&gt;0,IF(ISNUMBER(Schoonmaaknormen!E218),Schoonmaaknormen!BE218/Schoonmaaknormen!E218,0),"")</f>
        <v/>
      </c>
      <c r="BV218" s="294" t="str">
        <f>IF(BF218&gt;0,IF(ISNUMBER(Schoonmaaknormen!F218),Schoonmaaknormen!BF218/Schoonmaaknormen!F218,0),"")</f>
        <v/>
      </c>
      <c r="BW218" s="294" t="str">
        <f ca="1">IF(BG218&gt;0,IF(ISNUMBER(Schoonmaaknormen!G218),Schoonmaaknormen!BG218/Schoonmaaknormen!G218,0),"")</f>
        <v/>
      </c>
      <c r="BX218" s="294" t="str">
        <f ca="1">IF(BH218&gt;0,IF(ISNUMBER(Schoonmaaknormen!H218),Schoonmaaknormen!BH218/Schoonmaaknormen!H218,0),"")</f>
        <v/>
      </c>
      <c r="BY218" s="295" t="str">
        <f ca="1">IF(BI218&gt;0,IF(ISNUMBER(Schoonmaaknormen!I218),Schoonmaaknormen!BI218/Schoonmaaknormen!I218,0),"")</f>
        <v/>
      </c>
      <c r="BZ218" s="295" t="str">
        <f ca="1">IF(BJ218&gt;0,IF(ISNUMBER(Schoonmaaknormen!J218),Schoonmaaknormen!BJ218/Schoonmaaknormen!J218,0),"")</f>
        <v/>
      </c>
      <c r="CA218" s="555"/>
      <c r="CB218" s="554"/>
    </row>
    <row r="219" spans="1:80" ht="0.2" customHeight="1" x14ac:dyDescent="0.2">
      <c r="A219" s="172">
        <f ca="1">Ruimtestaat!A219</f>
        <v>2</v>
      </c>
      <c r="B219" s="556" t="str">
        <f>BB219</f>
        <v/>
      </c>
      <c r="C219" s="298">
        <v>255</v>
      </c>
      <c r="D219" s="299"/>
      <c r="E219" s="300"/>
      <c r="F219" s="301"/>
      <c r="G219" s="300"/>
      <c r="H219" s="300"/>
      <c r="I219" s="302"/>
      <c r="J219" s="302"/>
      <c r="K219" s="559"/>
      <c r="L219" s="551" t="str" cm="1">
        <f t="array" aca="1" ref="L219" ca="1">_xlfn.IFS(A219=2,"",COUNTBLANK(D219:J224)=COUNTIF(Ruimtestaat!D219:J224,"&lt;=0"),BK219/CB219,TRUE,"")</f>
        <v/>
      </c>
      <c r="M219" s="172" t="b">
        <f>IF(_xlfn.XLOOKUP(BB219,Tabel2[Locatiecode],Tabel2[Type locatie],"",0)="vaccin",TRUE,FALSE)</f>
        <v>0</v>
      </c>
      <c r="BB219" s="303" t="str">
        <f>IF(Ruimtestaat!BC219="","",Ruimtestaat!BC219)</f>
        <v/>
      </c>
      <c r="BC219" s="304">
        <f t="shared" si="6"/>
        <v>255</v>
      </c>
      <c r="BD219" s="305">
        <f ca="1">Ruimtestaat!D219*$BC219</f>
        <v>0</v>
      </c>
      <c r="BE219" s="306">
        <f ca="1">Ruimtestaat!E219*$BC219</f>
        <v>0</v>
      </c>
      <c r="BF219" s="306">
        <f>Ruimtestaat!F219*$BC219</f>
        <v>0</v>
      </c>
      <c r="BG219" s="306">
        <f>Ruimtestaat!G219*$BC219</f>
        <v>0</v>
      </c>
      <c r="BH219" s="306">
        <f>Ruimtestaat!H219*$BC219</f>
        <v>0</v>
      </c>
      <c r="BI219" s="307">
        <f ca="1">Ruimtestaat!I219*$BC219</f>
        <v>0</v>
      </c>
      <c r="BJ219" s="308">
        <f ca="1">Ruimtestaat!J219*$BC219</f>
        <v>0</v>
      </c>
      <c r="BK219" s="552">
        <f ca="1">SUM(BD219:BJ224)</f>
        <v>0</v>
      </c>
      <c r="BR219" s="303" t="str">
        <f>IF(Ruimtestaat!BC219="","",Ruimtestaat!BC219)</f>
        <v/>
      </c>
      <c r="BS219" s="304">
        <f t="shared" si="7"/>
        <v>255</v>
      </c>
      <c r="BT219" s="305" t="str">
        <f ca="1">IF(BD219&gt;0,IF(ISNUMBER(Schoonmaaknormen!D219),Schoonmaaknormen!BD219/Schoonmaaknormen!D219,0),"")</f>
        <v/>
      </c>
      <c r="BU219" s="306" t="str">
        <f ca="1">IF(BE219&gt;0,IF(ISNUMBER(Schoonmaaknormen!E219),Schoonmaaknormen!BE219/Schoonmaaknormen!E219,0),"")</f>
        <v/>
      </c>
      <c r="BV219" s="306" t="str">
        <f>IF(BF219&gt;0,IF(ISNUMBER(Schoonmaaknormen!F219),Schoonmaaknormen!BF219/Schoonmaaknormen!F219,0),"")</f>
        <v/>
      </c>
      <c r="BW219" s="306" t="str">
        <f>IF(BG219&gt;0,IF(ISNUMBER(Schoonmaaknormen!G219),Schoonmaaknormen!BG219/Schoonmaaknormen!G219,0),"")</f>
        <v/>
      </c>
      <c r="BX219" s="306" t="str">
        <f>IF(BH219&gt;0,IF(ISNUMBER(Schoonmaaknormen!H219),Schoonmaaknormen!BH219/Schoonmaaknormen!H219,0),"")</f>
        <v/>
      </c>
      <c r="BY219" s="315" t="str">
        <f ca="1">IF(BI219&gt;0,IF(ISNUMBER(Schoonmaaknormen!I219),Schoonmaaknormen!BI219/Schoonmaaknormen!I219,0),"")</f>
        <v/>
      </c>
      <c r="BZ219" s="315" t="str">
        <f ca="1">IF(BJ219&gt;0,IF(ISNUMBER(Schoonmaaknormen!J219),Schoonmaaknormen!BJ219/Schoonmaaknormen!J219,0),"")</f>
        <v/>
      </c>
      <c r="CA219" s="547" t="str" cm="1">
        <f t="array" ref="CA219">IF(ISNUMBER(K219),IF(SUM(BT219:BZ224)/LARGE(_xlfn._xlws.FILTER(Ruimtestaat!BD:BD,Ruimtestaat!BC:BC=BR219),1)&lt;K219,K219*LARGE(_xlfn._xlws.FILTER(Ruimtestaat!BD:BD,Ruimtestaat!BC:BC=BR219),1)-SUM(BT219:BZ224),0),"")</f>
        <v/>
      </c>
      <c r="CB219" s="551">
        <f ca="1">SUM(BT219:CA224)</f>
        <v>0</v>
      </c>
    </row>
    <row r="220" spans="1:80" ht="0.2" customHeight="1" x14ac:dyDescent="0.2">
      <c r="A220" s="172">
        <f ca="1">Ruimtestaat!A220</f>
        <v>2</v>
      </c>
      <c r="B220" s="557"/>
      <c r="C220" s="11">
        <v>204</v>
      </c>
      <c r="D220" s="309"/>
      <c r="E220" s="310"/>
      <c r="F220" s="311"/>
      <c r="G220" s="310"/>
      <c r="H220" s="310"/>
      <c r="I220" s="312"/>
      <c r="J220" s="312"/>
      <c r="K220" s="560"/>
      <c r="L220" s="552"/>
      <c r="M220" s="172" t="b">
        <f>IF(_xlfn.XLOOKUP(BB220,Tabel2[Locatiecode],Tabel2[Type locatie],"",0)="vaccin",TRUE,FALSE)</f>
        <v>0</v>
      </c>
      <c r="BB220" s="272" t="str">
        <f>IF(Ruimtestaat!BC220="","",Ruimtestaat!BC220)</f>
        <v/>
      </c>
      <c r="BC220" s="273">
        <f t="shared" si="6"/>
        <v>204</v>
      </c>
      <c r="BD220" s="274">
        <f ca="1">Ruimtestaat!D220*$BC220</f>
        <v>0</v>
      </c>
      <c r="BE220" s="275">
        <f ca="1">Ruimtestaat!E220*$BC220</f>
        <v>0</v>
      </c>
      <c r="BF220" s="275">
        <f ca="1">Ruimtestaat!F220*$BC220</f>
        <v>0</v>
      </c>
      <c r="BG220" s="275">
        <f>Ruimtestaat!G220*$BC220</f>
        <v>0</v>
      </c>
      <c r="BH220" s="275">
        <f>Ruimtestaat!H220*$BC220</f>
        <v>0</v>
      </c>
      <c r="BI220" s="276">
        <f>Ruimtestaat!I220*$BC220</f>
        <v>0</v>
      </c>
      <c r="BJ220" s="277">
        <f ca="1">Ruimtestaat!J220*$BC220</f>
        <v>0</v>
      </c>
      <c r="BK220" s="552"/>
      <c r="BR220" s="272" t="str">
        <f>IF(Ruimtestaat!BC220="","",Ruimtestaat!BC220)</f>
        <v/>
      </c>
      <c r="BS220" s="273">
        <f t="shared" si="7"/>
        <v>204</v>
      </c>
      <c r="BT220" s="274" t="str">
        <f ca="1">IF(BD220&gt;0,IF(ISNUMBER(Schoonmaaknormen!D220),Schoonmaaknormen!BD220/Schoonmaaknormen!D220,0),"")</f>
        <v/>
      </c>
      <c r="BU220" s="275" t="str">
        <f ca="1">IF(BE220&gt;0,IF(ISNUMBER(Schoonmaaknormen!E220),Schoonmaaknormen!BE220/Schoonmaaknormen!E220,0),"")</f>
        <v/>
      </c>
      <c r="BV220" s="275" t="str">
        <f ca="1">IF(BF220&gt;0,IF(ISNUMBER(Schoonmaaknormen!F220),Schoonmaaknormen!BF220/Schoonmaaknormen!F220,0),"")</f>
        <v/>
      </c>
      <c r="BW220" s="275" t="str">
        <f>IF(BG220&gt;0,IF(ISNUMBER(Schoonmaaknormen!G220),Schoonmaaknormen!BG220/Schoonmaaknormen!G220,0),"")</f>
        <v/>
      </c>
      <c r="BX220" s="275" t="str">
        <f>IF(BH220&gt;0,IF(ISNUMBER(Schoonmaaknormen!H220),Schoonmaaknormen!BH220/Schoonmaaknormen!H220,0),"")</f>
        <v/>
      </c>
      <c r="BY220" s="276" t="str">
        <f>IF(BI220&gt;0,IF(ISNUMBER(Schoonmaaknormen!I220),Schoonmaaknormen!BI220/Schoonmaaknormen!I220,0),"")</f>
        <v/>
      </c>
      <c r="BZ220" s="276" t="str">
        <f ca="1">IF(BJ220&gt;0,IF(ISNUMBER(Schoonmaaknormen!J220),Schoonmaaknormen!BJ220/Schoonmaaknormen!J220,0),"")</f>
        <v/>
      </c>
      <c r="CA220" s="548"/>
      <c r="CB220" s="552"/>
    </row>
    <row r="221" spans="1:80" ht="0.2" customHeight="1" x14ac:dyDescent="0.2">
      <c r="A221" s="172">
        <f ca="1">Ruimtestaat!A221</f>
        <v>2</v>
      </c>
      <c r="B221" s="557"/>
      <c r="C221" s="11">
        <v>156</v>
      </c>
      <c r="D221" s="309"/>
      <c r="E221" s="310"/>
      <c r="F221" s="311"/>
      <c r="G221" s="310"/>
      <c r="H221" s="310"/>
      <c r="I221" s="312"/>
      <c r="J221" s="312"/>
      <c r="K221" s="560"/>
      <c r="L221" s="552"/>
      <c r="M221" s="172" t="b">
        <f>IF(_xlfn.XLOOKUP(BB221,Tabel2[Locatiecode],Tabel2[Type locatie],"",0)="vaccin",TRUE,FALSE)</f>
        <v>0</v>
      </c>
      <c r="BB221" s="272" t="str">
        <f>IF(Ruimtestaat!BC221="","",Ruimtestaat!BC221)</f>
        <v/>
      </c>
      <c r="BC221" s="273">
        <f t="shared" si="6"/>
        <v>156</v>
      </c>
      <c r="BD221" s="274">
        <f ca="1">Ruimtestaat!D221*$BC221</f>
        <v>0</v>
      </c>
      <c r="BE221" s="275">
        <f ca="1">Ruimtestaat!E221*$BC221</f>
        <v>0</v>
      </c>
      <c r="BF221" s="275">
        <f ca="1">Ruimtestaat!F221*$BC221</f>
        <v>0</v>
      </c>
      <c r="BG221" s="275">
        <f ca="1">Ruimtestaat!G221*$BC221</f>
        <v>0</v>
      </c>
      <c r="BH221" s="275">
        <f>Ruimtestaat!H221*$BC221</f>
        <v>0</v>
      </c>
      <c r="BI221" s="276">
        <f>Ruimtestaat!I221*$BC221</f>
        <v>0</v>
      </c>
      <c r="BJ221" s="277">
        <f>Ruimtestaat!J221*$BC221</f>
        <v>0</v>
      </c>
      <c r="BK221" s="552"/>
      <c r="BR221" s="272" t="str">
        <f>IF(Ruimtestaat!BC221="","",Ruimtestaat!BC221)</f>
        <v/>
      </c>
      <c r="BS221" s="273">
        <f t="shared" si="7"/>
        <v>156</v>
      </c>
      <c r="BT221" s="274" t="str">
        <f ca="1">IF(BD221&gt;0,IF(ISNUMBER(Schoonmaaknormen!D221),Schoonmaaknormen!BD221/Schoonmaaknormen!D221,0),"")</f>
        <v/>
      </c>
      <c r="BU221" s="275" t="str">
        <f ca="1">IF(BE221&gt;0,IF(ISNUMBER(Schoonmaaknormen!E221),Schoonmaaknormen!BE221/Schoonmaaknormen!E221,0),"")</f>
        <v/>
      </c>
      <c r="BV221" s="275" t="str">
        <f ca="1">IF(BF221&gt;0,IF(ISNUMBER(Schoonmaaknormen!F221),Schoonmaaknormen!BF221/Schoonmaaknormen!F221,0),"")</f>
        <v/>
      </c>
      <c r="BW221" s="275" t="str">
        <f ca="1">IF(BG221&gt;0,IF(ISNUMBER(Schoonmaaknormen!G221),Schoonmaaknormen!BG221/Schoonmaaknormen!G221,0),"")</f>
        <v/>
      </c>
      <c r="BX221" s="275" t="str">
        <f>IF(BH221&gt;0,IF(ISNUMBER(Schoonmaaknormen!H221),Schoonmaaknormen!BH221/Schoonmaaknormen!H221,0),"")</f>
        <v/>
      </c>
      <c r="BY221" s="276" t="str">
        <f>IF(BI221&gt;0,IF(ISNUMBER(Schoonmaaknormen!I221),Schoonmaaknormen!BI221/Schoonmaaknormen!I221,0),"")</f>
        <v/>
      </c>
      <c r="BZ221" s="276" t="str">
        <f>IF(BJ221&gt;0,IF(ISNUMBER(Schoonmaaknormen!J221),Schoonmaaknormen!BJ221/Schoonmaaknormen!J221,0),"")</f>
        <v/>
      </c>
      <c r="CA221" s="548"/>
      <c r="CB221" s="552"/>
    </row>
    <row r="222" spans="1:80" ht="0.2" customHeight="1" x14ac:dyDescent="0.2">
      <c r="A222" s="172">
        <f ca="1">Ruimtestaat!A222</f>
        <v>2</v>
      </c>
      <c r="B222" s="557"/>
      <c r="C222" s="11">
        <v>104</v>
      </c>
      <c r="D222" s="309"/>
      <c r="E222" s="310"/>
      <c r="F222" s="311"/>
      <c r="G222" s="310"/>
      <c r="H222" s="310"/>
      <c r="I222" s="312"/>
      <c r="J222" s="312"/>
      <c r="K222" s="561"/>
      <c r="L222" s="553"/>
      <c r="M222" s="172" t="b">
        <f>IF(_xlfn.XLOOKUP(BB222,Tabel2[Locatiecode],Tabel2[Type locatie],"",0)="vaccin",TRUE,FALSE)</f>
        <v>0</v>
      </c>
      <c r="BB222" s="278" t="str">
        <f>IF(Ruimtestaat!BC222="","",Ruimtestaat!BC222)</f>
        <v/>
      </c>
      <c r="BC222" s="279">
        <f t="shared" si="6"/>
        <v>104</v>
      </c>
      <c r="BD222" s="280">
        <f ca="1">Ruimtestaat!D222*$BC222</f>
        <v>0</v>
      </c>
      <c r="BE222" s="281">
        <f ca="1">Ruimtestaat!E222*$BC222</f>
        <v>0</v>
      </c>
      <c r="BF222" s="281">
        <f ca="1">Ruimtestaat!F222*$BC222</f>
        <v>0</v>
      </c>
      <c r="BG222" s="281">
        <f ca="1">Ruimtestaat!G222*$BC222</f>
        <v>0</v>
      </c>
      <c r="BH222" s="281">
        <f ca="1">Ruimtestaat!H222*$BC222</f>
        <v>0</v>
      </c>
      <c r="BI222" s="282">
        <f>Ruimtestaat!I222*$BC222</f>
        <v>0</v>
      </c>
      <c r="BJ222" s="283">
        <f>Ruimtestaat!J222*$BC222</f>
        <v>0</v>
      </c>
      <c r="BK222" s="553"/>
      <c r="BR222" s="278" t="str">
        <f>IF(Ruimtestaat!BC222="","",Ruimtestaat!BC222)</f>
        <v/>
      </c>
      <c r="BS222" s="313">
        <f t="shared" si="7"/>
        <v>104</v>
      </c>
      <c r="BT222" s="280" t="str">
        <f ca="1">IF(BD222&gt;0,IF(ISNUMBER(Schoonmaaknormen!D222),Schoonmaaknormen!BD222/Schoonmaaknormen!D222,0),"")</f>
        <v/>
      </c>
      <c r="BU222" s="314" t="str">
        <f ca="1">IF(BE222&gt;0,IF(ISNUMBER(Schoonmaaknormen!E222),Schoonmaaknormen!BE222/Schoonmaaknormen!E222,0),"")</f>
        <v/>
      </c>
      <c r="BV222" s="314" t="str">
        <f ca="1">IF(BF222&gt;0,IF(ISNUMBER(Schoonmaaknormen!F222),Schoonmaaknormen!BF222/Schoonmaaknormen!F222,0),"")</f>
        <v/>
      </c>
      <c r="BW222" s="314" t="str">
        <f ca="1">IF(BG222&gt;0,IF(ISNUMBER(Schoonmaaknormen!G222),Schoonmaaknormen!BG222/Schoonmaaknormen!G222,0),"")</f>
        <v/>
      </c>
      <c r="BX222" s="314" t="str">
        <f ca="1">IF(BH222&gt;0,IF(ISNUMBER(Schoonmaaknormen!H222),Schoonmaaknormen!BH222/Schoonmaaknormen!H222,0),"")</f>
        <v/>
      </c>
      <c r="BY222" s="282" t="str">
        <f>IF(BI222&gt;0,IF(ISNUMBER(Schoonmaaknormen!I222),Schoonmaaknormen!BI222/Schoonmaaknormen!I222,0),"")</f>
        <v/>
      </c>
      <c r="BZ222" s="282" t="str">
        <f>IF(BJ222&gt;0,IF(ISNUMBER(Schoonmaaknormen!J222),Schoonmaaknormen!BJ222/Schoonmaaknormen!J222,0),"")</f>
        <v/>
      </c>
      <c r="CA222" s="549"/>
      <c r="CB222" s="553"/>
    </row>
    <row r="223" spans="1:80" ht="0.2" customHeight="1" x14ac:dyDescent="0.2">
      <c r="A223" s="172">
        <f ca="1">Ruimtestaat!A223</f>
        <v>2</v>
      </c>
      <c r="B223" s="557"/>
      <c r="C223" s="11">
        <v>52</v>
      </c>
      <c r="D223" s="309"/>
      <c r="E223" s="310"/>
      <c r="F223" s="311"/>
      <c r="G223" s="310"/>
      <c r="H223" s="310"/>
      <c r="I223" s="312"/>
      <c r="J223" s="312"/>
      <c r="K223" s="561"/>
      <c r="L223" s="553"/>
      <c r="M223" s="172" t="b">
        <f>IF(_xlfn.XLOOKUP(BB223,Tabel2[Locatiecode],Tabel2[Type locatie],"",0)="vaccin",TRUE,FALSE)</f>
        <v>0</v>
      </c>
      <c r="BB223" s="284" t="str">
        <f>IF(Ruimtestaat!BC223="","",Ruimtestaat!BC223)</f>
        <v/>
      </c>
      <c r="BC223" s="285">
        <f t="shared" si="6"/>
        <v>52</v>
      </c>
      <c r="BD223" s="286">
        <f ca="1">Ruimtestaat!D223*$BC223</f>
        <v>0</v>
      </c>
      <c r="BE223" s="287">
        <f ca="1">Ruimtestaat!E223*$BC223</f>
        <v>0</v>
      </c>
      <c r="BF223" s="287">
        <f ca="1">Ruimtestaat!F223*$BC223</f>
        <v>0</v>
      </c>
      <c r="BG223" s="287">
        <f ca="1">Ruimtestaat!G223*$BC223</f>
        <v>0</v>
      </c>
      <c r="BH223" s="287">
        <f ca="1">Ruimtestaat!H223*$BC223</f>
        <v>0</v>
      </c>
      <c r="BI223" s="288">
        <f ca="1">Ruimtestaat!I223*$BC223</f>
        <v>0</v>
      </c>
      <c r="BJ223" s="289">
        <f>Ruimtestaat!J223*$BC223</f>
        <v>0</v>
      </c>
      <c r="BK223" s="553"/>
      <c r="BR223" s="284" t="str">
        <f>IF(Ruimtestaat!BC223="","",Ruimtestaat!BC223)</f>
        <v/>
      </c>
      <c r="BS223" s="285">
        <f t="shared" si="7"/>
        <v>52</v>
      </c>
      <c r="BT223" s="286" t="str">
        <f ca="1">IF(BD223&gt;0,IF(ISNUMBER(Schoonmaaknormen!D223),Schoonmaaknormen!BD223/Schoonmaaknormen!D223,0),"")</f>
        <v/>
      </c>
      <c r="BU223" s="287" t="str">
        <f ca="1">IF(BE223&gt;0,IF(ISNUMBER(Schoonmaaknormen!E223),Schoonmaaknormen!BE223/Schoonmaaknormen!E223,0),"")</f>
        <v/>
      </c>
      <c r="BV223" s="287" t="str">
        <f ca="1">IF(BF223&gt;0,IF(ISNUMBER(Schoonmaaknormen!F223),Schoonmaaknormen!BF223/Schoonmaaknormen!F223,0),"")</f>
        <v/>
      </c>
      <c r="BW223" s="287" t="str">
        <f ca="1">IF(BG223&gt;0,IF(ISNUMBER(Schoonmaaknormen!G223),Schoonmaaknormen!BG223/Schoonmaaknormen!G223,0),"")</f>
        <v/>
      </c>
      <c r="BX223" s="287" t="str">
        <f ca="1">IF(BH223&gt;0,IF(ISNUMBER(Schoonmaaknormen!H223),Schoonmaaknormen!BH223/Schoonmaaknormen!H223,0),"")</f>
        <v/>
      </c>
      <c r="BY223" s="288" t="str">
        <f ca="1">IF(BI223&gt;0,IF(ISNUMBER(Schoonmaaknormen!I223),Schoonmaaknormen!BI223/Schoonmaaknormen!I223,0),"")</f>
        <v/>
      </c>
      <c r="BZ223" s="288" t="str">
        <f>IF(BJ223&gt;0,IF(ISNUMBER(Schoonmaaknormen!J223),Schoonmaaknormen!BJ223/Schoonmaaknormen!J223,0),"")</f>
        <v/>
      </c>
      <c r="CA223" s="549"/>
      <c r="CB223" s="553"/>
    </row>
    <row r="224" spans="1:80" ht="0.2" customHeight="1" x14ac:dyDescent="0.2">
      <c r="A224" s="172">
        <f ca="1">Ruimtestaat!A224</f>
        <v>2</v>
      </c>
      <c r="B224" s="558"/>
      <c r="C224" s="290">
        <v>4</v>
      </c>
      <c r="D224" s="186"/>
      <c r="E224" s="187"/>
      <c r="F224" s="188"/>
      <c r="G224" s="187"/>
      <c r="H224" s="187"/>
      <c r="I224" s="189"/>
      <c r="J224" s="189"/>
      <c r="K224" s="562"/>
      <c r="L224" s="554"/>
      <c r="M224" s="172" t="b">
        <f>IF(_xlfn.XLOOKUP(BB224,Tabel2[Locatiecode],Tabel2[Type locatie],"",0)="vaccin",TRUE,FALSE)</f>
        <v>0</v>
      </c>
      <c r="BB224" s="291" t="str">
        <f>IF(Ruimtestaat!BC224="","",Ruimtestaat!BC224)</f>
        <v/>
      </c>
      <c r="BC224" s="292">
        <f t="shared" si="6"/>
        <v>4</v>
      </c>
      <c r="BD224" s="293">
        <f ca="1">Ruimtestaat!D224*$BC224</f>
        <v>0</v>
      </c>
      <c r="BE224" s="294">
        <f ca="1">Ruimtestaat!E224*$BC224</f>
        <v>0</v>
      </c>
      <c r="BF224" s="294">
        <f ca="1">Ruimtestaat!F224*$BC224</f>
        <v>0</v>
      </c>
      <c r="BG224" s="294">
        <f ca="1">Ruimtestaat!G224*$BC224</f>
        <v>0</v>
      </c>
      <c r="BH224" s="294">
        <f ca="1">Ruimtestaat!H224*$BC224</f>
        <v>0</v>
      </c>
      <c r="BI224" s="295">
        <f ca="1">Ruimtestaat!I224*$BC224</f>
        <v>0</v>
      </c>
      <c r="BJ224" s="296">
        <f ca="1">Ruimtestaat!J224*$BC224</f>
        <v>0</v>
      </c>
      <c r="BK224" s="554"/>
      <c r="BR224" s="291" t="str">
        <f>IF(Ruimtestaat!BC224="","",Ruimtestaat!BC224)</f>
        <v/>
      </c>
      <c r="BS224" s="292">
        <f t="shared" si="7"/>
        <v>4</v>
      </c>
      <c r="BT224" s="293" t="str">
        <f ca="1">IF(BD224&gt;0,IF(ISNUMBER(Schoonmaaknormen!D224),Schoonmaaknormen!BD224/Schoonmaaknormen!D224,0),"")</f>
        <v/>
      </c>
      <c r="BU224" s="294" t="str">
        <f ca="1">IF(BE224&gt;0,IF(ISNUMBER(Schoonmaaknormen!E224),Schoonmaaknormen!BE224/Schoonmaaknormen!E224,0),"")</f>
        <v/>
      </c>
      <c r="BV224" s="294" t="str">
        <f ca="1">IF(BF224&gt;0,IF(ISNUMBER(Schoonmaaknormen!F224),Schoonmaaknormen!BF224/Schoonmaaknormen!F224,0),"")</f>
        <v/>
      </c>
      <c r="BW224" s="294" t="str">
        <f ca="1">IF(BG224&gt;0,IF(ISNUMBER(Schoonmaaknormen!G224),Schoonmaaknormen!BG224/Schoonmaaknormen!G224,0),"")</f>
        <v/>
      </c>
      <c r="BX224" s="294" t="str">
        <f ca="1">IF(BH224&gt;0,IF(ISNUMBER(Schoonmaaknormen!H224),Schoonmaaknormen!BH224/Schoonmaaknormen!H224,0),"")</f>
        <v/>
      </c>
      <c r="BY224" s="295" t="str">
        <f ca="1">IF(BI224&gt;0,IF(ISNUMBER(Schoonmaaknormen!I224),Schoonmaaknormen!BI224/Schoonmaaknormen!I224,0),"")</f>
        <v/>
      </c>
      <c r="BZ224" s="295" t="str">
        <f ca="1">IF(BJ224&gt;0,IF(ISNUMBER(Schoonmaaknormen!J224),Schoonmaaknormen!BJ224/Schoonmaaknormen!J224,0),"")</f>
        <v/>
      </c>
      <c r="CA224" s="555"/>
      <c r="CB224" s="554"/>
    </row>
    <row r="225" spans="1:80" ht="0.2" customHeight="1" x14ac:dyDescent="0.2">
      <c r="A225" s="172">
        <f ca="1">Ruimtestaat!A225</f>
        <v>2</v>
      </c>
      <c r="B225" s="556" t="str">
        <f>BB225</f>
        <v/>
      </c>
      <c r="C225" s="298">
        <v>255</v>
      </c>
      <c r="D225" s="299"/>
      <c r="E225" s="300"/>
      <c r="F225" s="301"/>
      <c r="G225" s="300"/>
      <c r="H225" s="300"/>
      <c r="I225" s="302"/>
      <c r="J225" s="302"/>
      <c r="K225" s="559"/>
      <c r="L225" s="551" t="str" cm="1">
        <f t="array" aca="1" ref="L225" ca="1">_xlfn.IFS(A225=2,"",COUNTBLANK(D225:J230)=COUNTIF(Ruimtestaat!D225:J230,"&lt;=0"),BK225/CB225,TRUE,"")</f>
        <v/>
      </c>
      <c r="M225" s="172" t="b">
        <f>IF(_xlfn.XLOOKUP(BB225,Tabel2[Locatiecode],Tabel2[Type locatie],"",0)="vaccin",TRUE,FALSE)</f>
        <v>0</v>
      </c>
      <c r="BB225" s="303" t="str">
        <f>IF(Ruimtestaat!BC225="","",Ruimtestaat!BC225)</f>
        <v/>
      </c>
      <c r="BC225" s="304">
        <f t="shared" si="6"/>
        <v>255</v>
      </c>
      <c r="BD225" s="305">
        <f ca="1">Ruimtestaat!D225*$BC225</f>
        <v>0</v>
      </c>
      <c r="BE225" s="306">
        <f>Ruimtestaat!E225*$BC225</f>
        <v>0</v>
      </c>
      <c r="BF225" s="306">
        <f>Ruimtestaat!F225*$BC225</f>
        <v>0</v>
      </c>
      <c r="BG225" s="306">
        <f ca="1">Ruimtestaat!G225*$BC225</f>
        <v>0</v>
      </c>
      <c r="BH225" s="306">
        <f ca="1">Ruimtestaat!H225*$BC225</f>
        <v>0</v>
      </c>
      <c r="BI225" s="307">
        <f ca="1">Ruimtestaat!I225*$BC225</f>
        <v>0</v>
      </c>
      <c r="BJ225" s="308">
        <f ca="1">Ruimtestaat!J225*$BC225</f>
        <v>0</v>
      </c>
      <c r="BK225" s="552">
        <f ca="1">SUM(BD225:BJ230)</f>
        <v>0</v>
      </c>
      <c r="BR225" s="303" t="str">
        <f>IF(Ruimtestaat!BC225="","",Ruimtestaat!BC225)</f>
        <v/>
      </c>
      <c r="BS225" s="304">
        <f t="shared" si="7"/>
        <v>255</v>
      </c>
      <c r="BT225" s="305" t="str">
        <f ca="1">IF(BD225&gt;0,IF(ISNUMBER(Schoonmaaknormen!D225),Schoonmaaknormen!BD225/Schoonmaaknormen!D225,0),"")</f>
        <v/>
      </c>
      <c r="BU225" s="306" t="str">
        <f>IF(BE225&gt;0,IF(ISNUMBER(Schoonmaaknormen!E225),Schoonmaaknormen!BE225/Schoonmaaknormen!E225,0),"")</f>
        <v/>
      </c>
      <c r="BV225" s="306" t="str">
        <f>IF(BF225&gt;0,IF(ISNUMBER(Schoonmaaknormen!F225),Schoonmaaknormen!BF225/Schoonmaaknormen!F225,0),"")</f>
        <v/>
      </c>
      <c r="BW225" s="306" t="str">
        <f ca="1">IF(BG225&gt;0,IF(ISNUMBER(Schoonmaaknormen!G225),Schoonmaaknormen!BG225/Schoonmaaknormen!G225,0),"")</f>
        <v/>
      </c>
      <c r="BX225" s="306" t="str">
        <f ca="1">IF(BH225&gt;0,IF(ISNUMBER(Schoonmaaknormen!H225),Schoonmaaknormen!BH225/Schoonmaaknormen!H225,0),"")</f>
        <v/>
      </c>
      <c r="BY225" s="315" t="str">
        <f ca="1">IF(BI225&gt;0,IF(ISNUMBER(Schoonmaaknormen!I225),Schoonmaaknormen!BI225/Schoonmaaknormen!I225,0),"")</f>
        <v/>
      </c>
      <c r="BZ225" s="315" t="str">
        <f ca="1">IF(BJ225&gt;0,IF(ISNUMBER(Schoonmaaknormen!J225),Schoonmaaknormen!BJ225/Schoonmaaknormen!J225,0),"")</f>
        <v/>
      </c>
      <c r="CA225" s="547" t="str" cm="1">
        <f t="array" ref="CA225">IF(ISNUMBER(K225),IF(SUM(BT225:BZ230)/LARGE(_xlfn._xlws.FILTER(Ruimtestaat!BD:BD,Ruimtestaat!BC:BC=BR225),1)&lt;K225,K225*LARGE(_xlfn._xlws.FILTER(Ruimtestaat!BD:BD,Ruimtestaat!BC:BC=BR225),1)-SUM(BT225:BZ230),0),"")</f>
        <v/>
      </c>
      <c r="CB225" s="551">
        <f ca="1">SUM(BT225:CA230)</f>
        <v>0</v>
      </c>
    </row>
    <row r="226" spans="1:80" ht="0.2" customHeight="1" x14ac:dyDescent="0.2">
      <c r="A226" s="172">
        <f ca="1">Ruimtestaat!A226</f>
        <v>2</v>
      </c>
      <c r="B226" s="557"/>
      <c r="C226" s="11">
        <v>204</v>
      </c>
      <c r="D226" s="309"/>
      <c r="E226" s="310"/>
      <c r="F226" s="311"/>
      <c r="G226" s="310"/>
      <c r="H226" s="310"/>
      <c r="I226" s="312"/>
      <c r="J226" s="312"/>
      <c r="K226" s="560"/>
      <c r="L226" s="552"/>
      <c r="M226" s="172" t="b">
        <f>IF(_xlfn.XLOOKUP(BB226,Tabel2[Locatiecode],Tabel2[Type locatie],"",0)="vaccin",TRUE,FALSE)</f>
        <v>0</v>
      </c>
      <c r="BB226" s="272" t="str">
        <f>IF(Ruimtestaat!BC226="","",Ruimtestaat!BC226)</f>
        <v/>
      </c>
      <c r="BC226" s="273">
        <f t="shared" si="6"/>
        <v>204</v>
      </c>
      <c r="BD226" s="274">
        <f ca="1">Ruimtestaat!D226*$BC226</f>
        <v>0</v>
      </c>
      <c r="BE226" s="275">
        <f>Ruimtestaat!E226*$BC226</f>
        <v>0</v>
      </c>
      <c r="BF226" s="275">
        <f>Ruimtestaat!F226*$BC226</f>
        <v>0</v>
      </c>
      <c r="BG226" s="275">
        <f ca="1">Ruimtestaat!G226*$BC226</f>
        <v>0</v>
      </c>
      <c r="BH226" s="275">
        <f ca="1">Ruimtestaat!H226*$BC226</f>
        <v>0</v>
      </c>
      <c r="BI226" s="276">
        <f ca="1">Ruimtestaat!I226*$BC226</f>
        <v>0</v>
      </c>
      <c r="BJ226" s="277">
        <f ca="1">Ruimtestaat!J226*$BC226</f>
        <v>0</v>
      </c>
      <c r="BK226" s="552"/>
      <c r="BR226" s="272" t="str">
        <f>IF(Ruimtestaat!BC226="","",Ruimtestaat!BC226)</f>
        <v/>
      </c>
      <c r="BS226" s="273">
        <f t="shared" si="7"/>
        <v>204</v>
      </c>
      <c r="BT226" s="274" t="str">
        <f ca="1">IF(BD226&gt;0,IF(ISNUMBER(Schoonmaaknormen!D226),Schoonmaaknormen!BD226/Schoonmaaknormen!D226,0),"")</f>
        <v/>
      </c>
      <c r="BU226" s="275" t="str">
        <f>IF(BE226&gt;0,IF(ISNUMBER(Schoonmaaknormen!E226),Schoonmaaknormen!BE226/Schoonmaaknormen!E226,0),"")</f>
        <v/>
      </c>
      <c r="BV226" s="275" t="str">
        <f>IF(BF226&gt;0,IF(ISNUMBER(Schoonmaaknormen!F226),Schoonmaaknormen!BF226/Schoonmaaknormen!F226,0),"")</f>
        <v/>
      </c>
      <c r="BW226" s="275" t="str">
        <f ca="1">IF(BG226&gt;0,IF(ISNUMBER(Schoonmaaknormen!G226),Schoonmaaknormen!BG226/Schoonmaaknormen!G226,0),"")</f>
        <v/>
      </c>
      <c r="BX226" s="275" t="str">
        <f ca="1">IF(BH226&gt;0,IF(ISNUMBER(Schoonmaaknormen!H226),Schoonmaaknormen!BH226/Schoonmaaknormen!H226,0),"")</f>
        <v/>
      </c>
      <c r="BY226" s="276" t="str">
        <f ca="1">IF(BI226&gt;0,IF(ISNUMBER(Schoonmaaknormen!I226),Schoonmaaknormen!BI226/Schoonmaaknormen!I226,0),"")</f>
        <v/>
      </c>
      <c r="BZ226" s="276" t="str">
        <f ca="1">IF(BJ226&gt;0,IF(ISNUMBER(Schoonmaaknormen!J226),Schoonmaaknormen!BJ226/Schoonmaaknormen!J226,0),"")</f>
        <v/>
      </c>
      <c r="CA226" s="548"/>
      <c r="CB226" s="552"/>
    </row>
    <row r="227" spans="1:80" ht="0.2" customHeight="1" x14ac:dyDescent="0.2">
      <c r="A227" s="172">
        <f ca="1">Ruimtestaat!A227</f>
        <v>2</v>
      </c>
      <c r="B227" s="557"/>
      <c r="C227" s="11">
        <v>156</v>
      </c>
      <c r="D227" s="309"/>
      <c r="E227" s="310"/>
      <c r="F227" s="311"/>
      <c r="G227" s="310"/>
      <c r="H227" s="310"/>
      <c r="I227" s="312"/>
      <c r="J227" s="312"/>
      <c r="K227" s="560"/>
      <c r="L227" s="552"/>
      <c r="M227" s="172" t="b">
        <f>IF(_xlfn.XLOOKUP(BB227,Tabel2[Locatiecode],Tabel2[Type locatie],"",0)="vaccin",TRUE,FALSE)</f>
        <v>0</v>
      </c>
      <c r="BB227" s="272" t="str">
        <f>IF(Ruimtestaat!BC227="","",Ruimtestaat!BC227)</f>
        <v/>
      </c>
      <c r="BC227" s="273">
        <f t="shared" si="6"/>
        <v>156</v>
      </c>
      <c r="BD227" s="274">
        <f ca="1">Ruimtestaat!D227*$BC227</f>
        <v>0</v>
      </c>
      <c r="BE227" s="275">
        <f ca="1">Ruimtestaat!E227*$BC227</f>
        <v>0</v>
      </c>
      <c r="BF227" s="275">
        <f>Ruimtestaat!F227*$BC227</f>
        <v>0</v>
      </c>
      <c r="BG227" s="275">
        <f>Ruimtestaat!G227*$BC227</f>
        <v>0</v>
      </c>
      <c r="BH227" s="275">
        <f ca="1">Ruimtestaat!H227*$BC227</f>
        <v>0</v>
      </c>
      <c r="BI227" s="276">
        <f ca="1">Ruimtestaat!I227*$BC227</f>
        <v>0</v>
      </c>
      <c r="BJ227" s="277">
        <f ca="1">Ruimtestaat!J227*$BC227</f>
        <v>0</v>
      </c>
      <c r="BK227" s="552"/>
      <c r="BR227" s="272" t="str">
        <f>IF(Ruimtestaat!BC227="","",Ruimtestaat!BC227)</f>
        <v/>
      </c>
      <c r="BS227" s="273">
        <f t="shared" si="7"/>
        <v>156</v>
      </c>
      <c r="BT227" s="274" t="str">
        <f ca="1">IF(BD227&gt;0,IF(ISNUMBER(Schoonmaaknormen!D227),Schoonmaaknormen!BD227/Schoonmaaknormen!D227,0),"")</f>
        <v/>
      </c>
      <c r="BU227" s="275" t="str">
        <f ca="1">IF(BE227&gt;0,IF(ISNUMBER(Schoonmaaknormen!E227),Schoonmaaknormen!BE227/Schoonmaaknormen!E227,0),"")</f>
        <v/>
      </c>
      <c r="BV227" s="275" t="str">
        <f>IF(BF227&gt;0,IF(ISNUMBER(Schoonmaaknormen!F227),Schoonmaaknormen!BF227/Schoonmaaknormen!F227,0),"")</f>
        <v/>
      </c>
      <c r="BW227" s="275" t="str">
        <f>IF(BG227&gt;0,IF(ISNUMBER(Schoonmaaknormen!G227),Schoonmaaknormen!BG227/Schoonmaaknormen!G227,0),"")</f>
        <v/>
      </c>
      <c r="BX227" s="275" t="str">
        <f ca="1">IF(BH227&gt;0,IF(ISNUMBER(Schoonmaaknormen!H227),Schoonmaaknormen!BH227/Schoonmaaknormen!H227,0),"")</f>
        <v/>
      </c>
      <c r="BY227" s="276" t="str">
        <f ca="1">IF(BI227&gt;0,IF(ISNUMBER(Schoonmaaknormen!I227),Schoonmaaknormen!BI227/Schoonmaaknormen!I227,0),"")</f>
        <v/>
      </c>
      <c r="BZ227" s="276" t="str">
        <f ca="1">IF(BJ227&gt;0,IF(ISNUMBER(Schoonmaaknormen!J227),Schoonmaaknormen!BJ227/Schoonmaaknormen!J227,0),"")</f>
        <v/>
      </c>
      <c r="CA227" s="548"/>
      <c r="CB227" s="552"/>
    </row>
    <row r="228" spans="1:80" ht="0.2" customHeight="1" x14ac:dyDescent="0.2">
      <c r="A228" s="172">
        <f ca="1">Ruimtestaat!A228</f>
        <v>2</v>
      </c>
      <c r="B228" s="557"/>
      <c r="C228" s="11">
        <v>104</v>
      </c>
      <c r="D228" s="309"/>
      <c r="E228" s="310"/>
      <c r="F228" s="311"/>
      <c r="G228" s="310"/>
      <c r="H228" s="310"/>
      <c r="I228" s="312"/>
      <c r="J228" s="312"/>
      <c r="K228" s="561"/>
      <c r="L228" s="553"/>
      <c r="M228" s="172" t="b">
        <f>IF(_xlfn.XLOOKUP(BB228,Tabel2[Locatiecode],Tabel2[Type locatie],"",0)="vaccin",TRUE,FALSE)</f>
        <v>0</v>
      </c>
      <c r="BB228" s="278" t="str">
        <f>IF(Ruimtestaat!BC228="","",Ruimtestaat!BC228)</f>
        <v/>
      </c>
      <c r="BC228" s="279">
        <f t="shared" si="6"/>
        <v>104</v>
      </c>
      <c r="BD228" s="280">
        <f ca="1">Ruimtestaat!D228*$BC228</f>
        <v>0</v>
      </c>
      <c r="BE228" s="281">
        <f ca="1">Ruimtestaat!E228*$BC228</f>
        <v>0</v>
      </c>
      <c r="BF228" s="281">
        <f ca="1">Ruimtestaat!F228*$BC228</f>
        <v>0</v>
      </c>
      <c r="BG228" s="281">
        <f>Ruimtestaat!G228*$BC228</f>
        <v>0</v>
      </c>
      <c r="BH228" s="281">
        <f>Ruimtestaat!H228*$BC228</f>
        <v>0</v>
      </c>
      <c r="BI228" s="282">
        <f ca="1">Ruimtestaat!I228*$BC228</f>
        <v>0</v>
      </c>
      <c r="BJ228" s="283">
        <f ca="1">Ruimtestaat!J228*$BC228</f>
        <v>0</v>
      </c>
      <c r="BK228" s="553"/>
      <c r="BR228" s="278" t="str">
        <f>IF(Ruimtestaat!BC228="","",Ruimtestaat!BC228)</f>
        <v/>
      </c>
      <c r="BS228" s="313">
        <f t="shared" si="7"/>
        <v>104</v>
      </c>
      <c r="BT228" s="280" t="str">
        <f ca="1">IF(BD228&gt;0,IF(ISNUMBER(Schoonmaaknormen!D228),Schoonmaaknormen!BD228/Schoonmaaknormen!D228,0),"")</f>
        <v/>
      </c>
      <c r="BU228" s="314" t="str">
        <f ca="1">IF(BE228&gt;0,IF(ISNUMBER(Schoonmaaknormen!E228),Schoonmaaknormen!BE228/Schoonmaaknormen!E228,0),"")</f>
        <v/>
      </c>
      <c r="BV228" s="314" t="str">
        <f ca="1">IF(BF228&gt;0,IF(ISNUMBER(Schoonmaaknormen!F228),Schoonmaaknormen!BF228/Schoonmaaknormen!F228,0),"")</f>
        <v/>
      </c>
      <c r="BW228" s="314" t="str">
        <f>IF(BG228&gt;0,IF(ISNUMBER(Schoonmaaknormen!G228),Schoonmaaknormen!BG228/Schoonmaaknormen!G228,0),"")</f>
        <v/>
      </c>
      <c r="BX228" s="314" t="str">
        <f>IF(BH228&gt;0,IF(ISNUMBER(Schoonmaaknormen!H228),Schoonmaaknormen!BH228/Schoonmaaknormen!H228,0),"")</f>
        <v/>
      </c>
      <c r="BY228" s="282" t="str">
        <f ca="1">IF(BI228&gt;0,IF(ISNUMBER(Schoonmaaknormen!I228),Schoonmaaknormen!BI228/Schoonmaaknormen!I228,0),"")</f>
        <v/>
      </c>
      <c r="BZ228" s="282" t="str">
        <f ca="1">IF(BJ228&gt;0,IF(ISNUMBER(Schoonmaaknormen!J228),Schoonmaaknormen!BJ228/Schoonmaaknormen!J228,0),"")</f>
        <v/>
      </c>
      <c r="CA228" s="549"/>
      <c r="CB228" s="553"/>
    </row>
    <row r="229" spans="1:80" ht="0.2" customHeight="1" x14ac:dyDescent="0.2">
      <c r="A229" s="172">
        <f ca="1">Ruimtestaat!A229</f>
        <v>2</v>
      </c>
      <c r="B229" s="557"/>
      <c r="C229" s="11">
        <v>52</v>
      </c>
      <c r="D229" s="309"/>
      <c r="E229" s="310"/>
      <c r="F229" s="311"/>
      <c r="G229" s="310"/>
      <c r="H229" s="310"/>
      <c r="I229" s="312"/>
      <c r="J229" s="312"/>
      <c r="K229" s="561"/>
      <c r="L229" s="553"/>
      <c r="M229" s="172" t="b">
        <f>IF(_xlfn.XLOOKUP(BB229,Tabel2[Locatiecode],Tabel2[Type locatie],"",0)="vaccin",TRUE,FALSE)</f>
        <v>0</v>
      </c>
      <c r="BB229" s="284" t="str">
        <f>IF(Ruimtestaat!BC229="","",Ruimtestaat!BC229)</f>
        <v/>
      </c>
      <c r="BC229" s="285">
        <f t="shared" si="6"/>
        <v>52</v>
      </c>
      <c r="BD229" s="286">
        <f ca="1">Ruimtestaat!D229*$BC229</f>
        <v>0</v>
      </c>
      <c r="BE229" s="287">
        <f ca="1">Ruimtestaat!E229*$BC229</f>
        <v>0</v>
      </c>
      <c r="BF229" s="287">
        <f ca="1">Ruimtestaat!F229*$BC229</f>
        <v>0</v>
      </c>
      <c r="BG229" s="287">
        <f ca="1">Ruimtestaat!G229*$BC229</f>
        <v>0</v>
      </c>
      <c r="BH229" s="287">
        <f>Ruimtestaat!H229*$BC229</f>
        <v>0</v>
      </c>
      <c r="BI229" s="288">
        <f>Ruimtestaat!I229*$BC229</f>
        <v>0</v>
      </c>
      <c r="BJ229" s="289">
        <f>Ruimtestaat!J229*$BC229</f>
        <v>0</v>
      </c>
      <c r="BK229" s="553"/>
      <c r="BR229" s="284" t="str">
        <f>IF(Ruimtestaat!BC229="","",Ruimtestaat!BC229)</f>
        <v/>
      </c>
      <c r="BS229" s="285">
        <f t="shared" si="7"/>
        <v>52</v>
      </c>
      <c r="BT229" s="286" t="str">
        <f ca="1">IF(BD229&gt;0,IF(ISNUMBER(Schoonmaaknormen!D229),Schoonmaaknormen!BD229/Schoonmaaknormen!D229,0),"")</f>
        <v/>
      </c>
      <c r="BU229" s="287" t="str">
        <f ca="1">IF(BE229&gt;0,IF(ISNUMBER(Schoonmaaknormen!E229),Schoonmaaknormen!BE229/Schoonmaaknormen!E229,0),"")</f>
        <v/>
      </c>
      <c r="BV229" s="287" t="str">
        <f ca="1">IF(BF229&gt;0,IF(ISNUMBER(Schoonmaaknormen!F229),Schoonmaaknormen!BF229/Schoonmaaknormen!F229,0),"")</f>
        <v/>
      </c>
      <c r="BW229" s="287" t="str">
        <f ca="1">IF(BG229&gt;0,IF(ISNUMBER(Schoonmaaknormen!G229),Schoonmaaknormen!BG229/Schoonmaaknormen!G229,0),"")</f>
        <v/>
      </c>
      <c r="BX229" s="287" t="str">
        <f>IF(BH229&gt;0,IF(ISNUMBER(Schoonmaaknormen!H229),Schoonmaaknormen!BH229/Schoonmaaknormen!H229,0),"")</f>
        <v/>
      </c>
      <c r="BY229" s="288" t="str">
        <f>IF(BI229&gt;0,IF(ISNUMBER(Schoonmaaknormen!I229),Schoonmaaknormen!BI229/Schoonmaaknormen!I229,0),"")</f>
        <v/>
      </c>
      <c r="BZ229" s="288" t="str">
        <f>IF(BJ229&gt;0,IF(ISNUMBER(Schoonmaaknormen!J229),Schoonmaaknormen!BJ229/Schoonmaaknormen!J229,0),"")</f>
        <v/>
      </c>
      <c r="CA229" s="549"/>
      <c r="CB229" s="553"/>
    </row>
    <row r="230" spans="1:80" ht="0.2" customHeight="1" x14ac:dyDescent="0.2">
      <c r="A230" s="172">
        <f ca="1">Ruimtestaat!A230</f>
        <v>2</v>
      </c>
      <c r="B230" s="558"/>
      <c r="C230" s="290">
        <v>4</v>
      </c>
      <c r="D230" s="186"/>
      <c r="E230" s="187"/>
      <c r="F230" s="188"/>
      <c r="G230" s="187"/>
      <c r="H230" s="187"/>
      <c r="I230" s="189"/>
      <c r="J230" s="189"/>
      <c r="K230" s="562"/>
      <c r="L230" s="554"/>
      <c r="M230" s="172" t="b">
        <f>IF(_xlfn.XLOOKUP(BB230,Tabel2[Locatiecode],Tabel2[Type locatie],"",0)="vaccin",TRUE,FALSE)</f>
        <v>0</v>
      </c>
      <c r="BB230" s="291" t="str">
        <f>IF(Ruimtestaat!BC230="","",Ruimtestaat!BC230)</f>
        <v/>
      </c>
      <c r="BC230" s="292">
        <f t="shared" si="6"/>
        <v>4</v>
      </c>
      <c r="BD230" s="293">
        <f ca="1">Ruimtestaat!D230*$BC230</f>
        <v>0</v>
      </c>
      <c r="BE230" s="294">
        <f ca="1">Ruimtestaat!E230*$BC230</f>
        <v>0</v>
      </c>
      <c r="BF230" s="294">
        <f ca="1">Ruimtestaat!F230*$BC230</f>
        <v>0</v>
      </c>
      <c r="BG230" s="294">
        <f ca="1">Ruimtestaat!G230*$BC230</f>
        <v>0</v>
      </c>
      <c r="BH230" s="294">
        <f ca="1">Ruimtestaat!H230*$BC230</f>
        <v>0</v>
      </c>
      <c r="BI230" s="295">
        <f>Ruimtestaat!I230*$BC230</f>
        <v>0</v>
      </c>
      <c r="BJ230" s="296">
        <f>Ruimtestaat!J230*$BC230</f>
        <v>0</v>
      </c>
      <c r="BK230" s="554"/>
      <c r="BR230" s="291" t="str">
        <f>IF(Ruimtestaat!BC230="","",Ruimtestaat!BC230)</f>
        <v/>
      </c>
      <c r="BS230" s="292">
        <f t="shared" si="7"/>
        <v>4</v>
      </c>
      <c r="BT230" s="293" t="str">
        <f ca="1">IF(BD230&gt;0,IF(ISNUMBER(Schoonmaaknormen!D230),Schoonmaaknormen!BD230/Schoonmaaknormen!D230,0),"")</f>
        <v/>
      </c>
      <c r="BU230" s="294" t="str">
        <f ca="1">IF(BE230&gt;0,IF(ISNUMBER(Schoonmaaknormen!E230),Schoonmaaknormen!BE230/Schoonmaaknormen!E230,0),"")</f>
        <v/>
      </c>
      <c r="BV230" s="294" t="str">
        <f ca="1">IF(BF230&gt;0,IF(ISNUMBER(Schoonmaaknormen!F230),Schoonmaaknormen!BF230/Schoonmaaknormen!F230,0),"")</f>
        <v/>
      </c>
      <c r="BW230" s="294" t="str">
        <f ca="1">IF(BG230&gt;0,IF(ISNUMBER(Schoonmaaknormen!G230),Schoonmaaknormen!BG230/Schoonmaaknormen!G230,0),"")</f>
        <v/>
      </c>
      <c r="BX230" s="294" t="str">
        <f ca="1">IF(BH230&gt;0,IF(ISNUMBER(Schoonmaaknormen!H230),Schoonmaaknormen!BH230/Schoonmaaknormen!H230,0),"")</f>
        <v/>
      </c>
      <c r="BY230" s="295" t="str">
        <f>IF(BI230&gt;0,IF(ISNUMBER(Schoonmaaknormen!I230),Schoonmaaknormen!BI230/Schoonmaaknormen!I230,0),"")</f>
        <v/>
      </c>
      <c r="BZ230" s="295" t="str">
        <f>IF(BJ230&gt;0,IF(ISNUMBER(Schoonmaaknormen!J230),Schoonmaaknormen!BJ230/Schoonmaaknormen!J230,0),"")</f>
        <v/>
      </c>
      <c r="CA230" s="555"/>
      <c r="CB230" s="554"/>
    </row>
    <row r="231" spans="1:80" ht="0.2" customHeight="1" x14ac:dyDescent="0.2">
      <c r="A231" s="172">
        <f ca="1">Ruimtestaat!A231</f>
        <v>2</v>
      </c>
      <c r="B231" s="556" t="str">
        <f>BB231</f>
        <v/>
      </c>
      <c r="C231" s="298">
        <v>255</v>
      </c>
      <c r="D231" s="299"/>
      <c r="E231" s="300"/>
      <c r="F231" s="301"/>
      <c r="G231" s="300"/>
      <c r="H231" s="300"/>
      <c r="I231" s="302"/>
      <c r="J231" s="302"/>
      <c r="K231" s="559"/>
      <c r="L231" s="551" t="str" cm="1">
        <f t="array" aca="1" ref="L231" ca="1">_xlfn.IFS(A231=2,"",COUNTBLANK(D231:J236)=COUNTIF(Ruimtestaat!D231:J236,"&lt;=0"),BK231/CB231,TRUE,"")</f>
        <v/>
      </c>
      <c r="M231" s="172" t="b">
        <f>IF(_xlfn.XLOOKUP(BB231,Tabel2[Locatiecode],Tabel2[Type locatie],"",0)="vaccin",TRUE,FALSE)</f>
        <v>0</v>
      </c>
      <c r="BB231" s="303" t="str">
        <f>IF(Ruimtestaat!BC231="","",Ruimtestaat!BC231)</f>
        <v/>
      </c>
      <c r="BC231" s="304">
        <f t="shared" si="6"/>
        <v>255</v>
      </c>
      <c r="BD231" s="305">
        <f ca="1">Ruimtestaat!D231*$BC231</f>
        <v>0</v>
      </c>
      <c r="BE231" s="306">
        <f ca="1">Ruimtestaat!E231*$BC231</f>
        <v>0</v>
      </c>
      <c r="BF231" s="306">
        <f ca="1">Ruimtestaat!F231*$BC231</f>
        <v>0</v>
      </c>
      <c r="BG231" s="306">
        <f ca="1">Ruimtestaat!G231*$BC231</f>
        <v>0</v>
      </c>
      <c r="BH231" s="306">
        <f ca="1">Ruimtestaat!H231*$BC231</f>
        <v>0</v>
      </c>
      <c r="BI231" s="307">
        <f ca="1">Ruimtestaat!I231*$BC231</f>
        <v>0</v>
      </c>
      <c r="BJ231" s="308">
        <f>Ruimtestaat!J231*$BC231</f>
        <v>0</v>
      </c>
      <c r="BK231" s="552">
        <f ca="1">SUM(BD231:BJ236)</f>
        <v>0</v>
      </c>
      <c r="BR231" s="303" t="str">
        <f>IF(Ruimtestaat!BC231="","",Ruimtestaat!BC231)</f>
        <v/>
      </c>
      <c r="BS231" s="304">
        <f t="shared" si="7"/>
        <v>255</v>
      </c>
      <c r="BT231" s="305" t="str">
        <f ca="1">IF(BD231&gt;0,IF(ISNUMBER(Schoonmaaknormen!D231),Schoonmaaknormen!BD231/Schoonmaaknormen!D231,0),"")</f>
        <v/>
      </c>
      <c r="BU231" s="306" t="str">
        <f ca="1">IF(BE231&gt;0,IF(ISNUMBER(Schoonmaaknormen!E231),Schoonmaaknormen!BE231/Schoonmaaknormen!E231,0),"")</f>
        <v/>
      </c>
      <c r="BV231" s="306" t="str">
        <f ca="1">IF(BF231&gt;0,IF(ISNUMBER(Schoonmaaknormen!F231),Schoonmaaknormen!BF231/Schoonmaaknormen!F231,0),"")</f>
        <v/>
      </c>
      <c r="BW231" s="306" t="str">
        <f ca="1">IF(BG231&gt;0,IF(ISNUMBER(Schoonmaaknormen!G231),Schoonmaaknormen!BG231/Schoonmaaknormen!G231,0),"")</f>
        <v/>
      </c>
      <c r="BX231" s="306" t="str">
        <f ca="1">IF(BH231&gt;0,IF(ISNUMBER(Schoonmaaknormen!H231),Schoonmaaknormen!BH231/Schoonmaaknormen!H231,0),"")</f>
        <v/>
      </c>
      <c r="BY231" s="315" t="str">
        <f ca="1">IF(BI231&gt;0,IF(ISNUMBER(Schoonmaaknormen!I231),Schoonmaaknormen!BI231/Schoonmaaknormen!I231,0),"")</f>
        <v/>
      </c>
      <c r="BZ231" s="315" t="str">
        <f>IF(BJ231&gt;0,IF(ISNUMBER(Schoonmaaknormen!J231),Schoonmaaknormen!BJ231/Schoonmaaknormen!J231,0),"")</f>
        <v/>
      </c>
      <c r="CA231" s="547" t="str" cm="1">
        <f t="array" ref="CA231">IF(ISNUMBER(K231),IF(SUM(BT231:BZ236)/LARGE(_xlfn._xlws.FILTER(Ruimtestaat!BD:BD,Ruimtestaat!BC:BC=BR231),1)&lt;K231,K231*LARGE(_xlfn._xlws.FILTER(Ruimtestaat!BD:BD,Ruimtestaat!BC:BC=BR231),1)-SUM(BT231:BZ236),0),"")</f>
        <v/>
      </c>
      <c r="CB231" s="551">
        <f ca="1">SUM(BT231:CA236)</f>
        <v>0</v>
      </c>
    </row>
    <row r="232" spans="1:80" ht="0.2" customHeight="1" x14ac:dyDescent="0.2">
      <c r="A232" s="172">
        <f ca="1">Ruimtestaat!A232</f>
        <v>2</v>
      </c>
      <c r="B232" s="557"/>
      <c r="C232" s="11">
        <v>204</v>
      </c>
      <c r="D232" s="309"/>
      <c r="E232" s="310"/>
      <c r="F232" s="311"/>
      <c r="G232" s="310"/>
      <c r="H232" s="310"/>
      <c r="I232" s="312"/>
      <c r="J232" s="312"/>
      <c r="K232" s="560"/>
      <c r="L232" s="552"/>
      <c r="M232" s="172" t="b">
        <f>IF(_xlfn.XLOOKUP(BB232,Tabel2[Locatiecode],Tabel2[Type locatie],"",0)="vaccin",TRUE,FALSE)</f>
        <v>0</v>
      </c>
      <c r="BB232" s="272" t="str">
        <f>IF(Ruimtestaat!BC232="","",Ruimtestaat!BC232)</f>
        <v/>
      </c>
      <c r="BC232" s="273">
        <f t="shared" si="6"/>
        <v>204</v>
      </c>
      <c r="BD232" s="274">
        <f ca="1">Ruimtestaat!D232*$BC232</f>
        <v>0</v>
      </c>
      <c r="BE232" s="275">
        <f ca="1">Ruimtestaat!E232*$BC232</f>
        <v>0</v>
      </c>
      <c r="BF232" s="275">
        <f ca="1">Ruimtestaat!F232*$BC232</f>
        <v>0</v>
      </c>
      <c r="BG232" s="275">
        <f ca="1">Ruimtestaat!G232*$BC232</f>
        <v>0</v>
      </c>
      <c r="BH232" s="275">
        <f ca="1">Ruimtestaat!H232*$BC232</f>
        <v>0</v>
      </c>
      <c r="BI232" s="276">
        <f ca="1">Ruimtestaat!I232*$BC232</f>
        <v>0</v>
      </c>
      <c r="BJ232" s="277">
        <f ca="1">Ruimtestaat!J232*$BC232</f>
        <v>0</v>
      </c>
      <c r="BK232" s="552"/>
      <c r="BR232" s="272" t="str">
        <f>IF(Ruimtestaat!BC232="","",Ruimtestaat!BC232)</f>
        <v/>
      </c>
      <c r="BS232" s="273">
        <f t="shared" si="7"/>
        <v>204</v>
      </c>
      <c r="BT232" s="274" t="str">
        <f ca="1">IF(BD232&gt;0,IF(ISNUMBER(Schoonmaaknormen!D232),Schoonmaaknormen!BD232/Schoonmaaknormen!D232,0),"")</f>
        <v/>
      </c>
      <c r="BU232" s="275" t="str">
        <f ca="1">IF(BE232&gt;0,IF(ISNUMBER(Schoonmaaknormen!E232),Schoonmaaknormen!BE232/Schoonmaaknormen!E232,0),"")</f>
        <v/>
      </c>
      <c r="BV232" s="275" t="str">
        <f ca="1">IF(BF232&gt;0,IF(ISNUMBER(Schoonmaaknormen!F232),Schoonmaaknormen!BF232/Schoonmaaknormen!F232,0),"")</f>
        <v/>
      </c>
      <c r="BW232" s="275" t="str">
        <f ca="1">IF(BG232&gt;0,IF(ISNUMBER(Schoonmaaknormen!G232),Schoonmaaknormen!BG232/Schoonmaaknormen!G232,0),"")</f>
        <v/>
      </c>
      <c r="BX232" s="275" t="str">
        <f ca="1">IF(BH232&gt;0,IF(ISNUMBER(Schoonmaaknormen!H232),Schoonmaaknormen!BH232/Schoonmaaknormen!H232,0),"")</f>
        <v/>
      </c>
      <c r="BY232" s="276" t="str">
        <f ca="1">IF(BI232&gt;0,IF(ISNUMBER(Schoonmaaknormen!I232),Schoonmaaknormen!BI232/Schoonmaaknormen!I232,0),"")</f>
        <v/>
      </c>
      <c r="BZ232" s="276" t="str">
        <f ca="1">IF(BJ232&gt;0,IF(ISNUMBER(Schoonmaaknormen!J232),Schoonmaaknormen!BJ232/Schoonmaaknormen!J232,0),"")</f>
        <v/>
      </c>
      <c r="CA232" s="548"/>
      <c r="CB232" s="552"/>
    </row>
    <row r="233" spans="1:80" ht="0.2" customHeight="1" x14ac:dyDescent="0.2">
      <c r="A233" s="172">
        <f ca="1">Ruimtestaat!A233</f>
        <v>2</v>
      </c>
      <c r="B233" s="557"/>
      <c r="C233" s="11">
        <v>156</v>
      </c>
      <c r="D233" s="309"/>
      <c r="E233" s="310"/>
      <c r="F233" s="311"/>
      <c r="G233" s="310"/>
      <c r="H233" s="310"/>
      <c r="I233" s="312"/>
      <c r="J233" s="312"/>
      <c r="K233" s="560"/>
      <c r="L233" s="552"/>
      <c r="M233" s="172" t="b">
        <f>IF(_xlfn.XLOOKUP(BB233,Tabel2[Locatiecode],Tabel2[Type locatie],"",0)="vaccin",TRUE,FALSE)</f>
        <v>0</v>
      </c>
      <c r="BB233" s="272" t="str">
        <f>IF(Ruimtestaat!BC233="","",Ruimtestaat!BC233)</f>
        <v/>
      </c>
      <c r="BC233" s="273">
        <f t="shared" si="6"/>
        <v>156</v>
      </c>
      <c r="BD233" s="274">
        <f ca="1">Ruimtestaat!D233*$BC233</f>
        <v>0</v>
      </c>
      <c r="BE233" s="275">
        <f>Ruimtestaat!E233*$BC233</f>
        <v>0</v>
      </c>
      <c r="BF233" s="275">
        <f>Ruimtestaat!F233*$BC233</f>
        <v>0</v>
      </c>
      <c r="BG233" s="275">
        <f ca="1">Ruimtestaat!G233*$BC233</f>
        <v>0</v>
      </c>
      <c r="BH233" s="275">
        <f ca="1">Ruimtestaat!H233*$BC233</f>
        <v>0</v>
      </c>
      <c r="BI233" s="276">
        <f ca="1">Ruimtestaat!I233*$BC233</f>
        <v>0</v>
      </c>
      <c r="BJ233" s="277">
        <f ca="1">Ruimtestaat!J233*$BC233</f>
        <v>0</v>
      </c>
      <c r="BK233" s="552"/>
      <c r="BR233" s="272" t="str">
        <f>IF(Ruimtestaat!BC233="","",Ruimtestaat!BC233)</f>
        <v/>
      </c>
      <c r="BS233" s="273">
        <f t="shared" si="7"/>
        <v>156</v>
      </c>
      <c r="BT233" s="274" t="str">
        <f ca="1">IF(BD233&gt;0,IF(ISNUMBER(Schoonmaaknormen!D233),Schoonmaaknormen!BD233/Schoonmaaknormen!D233,0),"")</f>
        <v/>
      </c>
      <c r="BU233" s="275" t="str">
        <f>IF(BE233&gt;0,IF(ISNUMBER(Schoonmaaknormen!E233),Schoonmaaknormen!BE233/Schoonmaaknormen!E233,0),"")</f>
        <v/>
      </c>
      <c r="BV233" s="275" t="str">
        <f>IF(BF233&gt;0,IF(ISNUMBER(Schoonmaaknormen!F233),Schoonmaaknormen!BF233/Schoonmaaknormen!F233,0),"")</f>
        <v/>
      </c>
      <c r="BW233" s="275" t="str">
        <f ca="1">IF(BG233&gt;0,IF(ISNUMBER(Schoonmaaknormen!G233),Schoonmaaknormen!BG233/Schoonmaaknormen!G233,0),"")</f>
        <v/>
      </c>
      <c r="BX233" s="275" t="str">
        <f ca="1">IF(BH233&gt;0,IF(ISNUMBER(Schoonmaaknormen!H233),Schoonmaaknormen!BH233/Schoonmaaknormen!H233,0),"")</f>
        <v/>
      </c>
      <c r="BY233" s="276" t="str">
        <f ca="1">IF(BI233&gt;0,IF(ISNUMBER(Schoonmaaknormen!I233),Schoonmaaknormen!BI233/Schoonmaaknormen!I233,0),"")</f>
        <v/>
      </c>
      <c r="BZ233" s="276" t="str">
        <f ca="1">IF(BJ233&gt;0,IF(ISNUMBER(Schoonmaaknormen!J233),Schoonmaaknormen!BJ233/Schoonmaaknormen!J233,0),"")</f>
        <v/>
      </c>
      <c r="CA233" s="548"/>
      <c r="CB233" s="552"/>
    </row>
    <row r="234" spans="1:80" ht="0.2" customHeight="1" x14ac:dyDescent="0.2">
      <c r="A234" s="172">
        <f ca="1">Ruimtestaat!A234</f>
        <v>2</v>
      </c>
      <c r="B234" s="557"/>
      <c r="C234" s="11">
        <v>104</v>
      </c>
      <c r="D234" s="309"/>
      <c r="E234" s="310"/>
      <c r="F234" s="311"/>
      <c r="G234" s="310"/>
      <c r="H234" s="310"/>
      <c r="I234" s="312"/>
      <c r="J234" s="312"/>
      <c r="K234" s="561"/>
      <c r="L234" s="553"/>
      <c r="M234" s="172" t="b">
        <f>IF(_xlfn.XLOOKUP(BB234,Tabel2[Locatiecode],Tabel2[Type locatie],"",0)="vaccin",TRUE,FALSE)</f>
        <v>0</v>
      </c>
      <c r="BB234" s="278" t="str">
        <f>IF(Ruimtestaat!BC234="","",Ruimtestaat!BC234)</f>
        <v/>
      </c>
      <c r="BC234" s="279">
        <f t="shared" si="6"/>
        <v>104</v>
      </c>
      <c r="BD234" s="280">
        <f ca="1">Ruimtestaat!D234*$BC234</f>
        <v>0</v>
      </c>
      <c r="BE234" s="281">
        <f>Ruimtestaat!E234*$BC234</f>
        <v>0</v>
      </c>
      <c r="BF234" s="281">
        <f>Ruimtestaat!F234*$BC234</f>
        <v>0</v>
      </c>
      <c r="BG234" s="281">
        <f ca="1">Ruimtestaat!G234*$BC234</f>
        <v>0</v>
      </c>
      <c r="BH234" s="281">
        <f ca="1">Ruimtestaat!H234*$BC234</f>
        <v>0</v>
      </c>
      <c r="BI234" s="282">
        <f ca="1">Ruimtestaat!I234*$BC234</f>
        <v>0</v>
      </c>
      <c r="BJ234" s="283">
        <f ca="1">Ruimtestaat!J234*$BC234</f>
        <v>0</v>
      </c>
      <c r="BK234" s="553"/>
      <c r="BR234" s="278" t="str">
        <f>IF(Ruimtestaat!BC234="","",Ruimtestaat!BC234)</f>
        <v/>
      </c>
      <c r="BS234" s="313">
        <f t="shared" si="7"/>
        <v>104</v>
      </c>
      <c r="BT234" s="280" t="str">
        <f ca="1">IF(BD234&gt;0,IF(ISNUMBER(Schoonmaaknormen!D234),Schoonmaaknormen!BD234/Schoonmaaknormen!D234,0),"")</f>
        <v/>
      </c>
      <c r="BU234" s="314" t="str">
        <f>IF(BE234&gt;0,IF(ISNUMBER(Schoonmaaknormen!E234),Schoonmaaknormen!BE234/Schoonmaaknormen!E234,0),"")</f>
        <v/>
      </c>
      <c r="BV234" s="314" t="str">
        <f>IF(BF234&gt;0,IF(ISNUMBER(Schoonmaaknormen!F234),Schoonmaaknormen!BF234/Schoonmaaknormen!F234,0),"")</f>
        <v/>
      </c>
      <c r="BW234" s="314" t="str">
        <f ca="1">IF(BG234&gt;0,IF(ISNUMBER(Schoonmaaknormen!G234),Schoonmaaknormen!BG234/Schoonmaaknormen!G234,0),"")</f>
        <v/>
      </c>
      <c r="BX234" s="314" t="str">
        <f ca="1">IF(BH234&gt;0,IF(ISNUMBER(Schoonmaaknormen!H234),Schoonmaaknormen!BH234/Schoonmaaknormen!H234,0),"")</f>
        <v/>
      </c>
      <c r="BY234" s="282" t="str">
        <f ca="1">IF(BI234&gt;0,IF(ISNUMBER(Schoonmaaknormen!I234),Schoonmaaknormen!BI234/Schoonmaaknormen!I234,0),"")</f>
        <v/>
      </c>
      <c r="BZ234" s="282" t="str">
        <f ca="1">IF(BJ234&gt;0,IF(ISNUMBER(Schoonmaaknormen!J234),Schoonmaaknormen!BJ234/Schoonmaaknormen!J234,0),"")</f>
        <v/>
      </c>
      <c r="CA234" s="549"/>
      <c r="CB234" s="553"/>
    </row>
    <row r="235" spans="1:80" ht="0.2" customHeight="1" x14ac:dyDescent="0.2">
      <c r="A235" s="172">
        <f ca="1">Ruimtestaat!A235</f>
        <v>2</v>
      </c>
      <c r="B235" s="557"/>
      <c r="C235" s="11">
        <v>52</v>
      </c>
      <c r="D235" s="309"/>
      <c r="E235" s="310"/>
      <c r="F235" s="311"/>
      <c r="G235" s="310"/>
      <c r="H235" s="310"/>
      <c r="I235" s="312"/>
      <c r="J235" s="312"/>
      <c r="K235" s="561"/>
      <c r="L235" s="553"/>
      <c r="M235" s="172" t="b">
        <f>IF(_xlfn.XLOOKUP(BB235,Tabel2[Locatiecode],Tabel2[Type locatie],"",0)="vaccin",TRUE,FALSE)</f>
        <v>0</v>
      </c>
      <c r="BB235" s="284" t="str">
        <f>IF(Ruimtestaat!BC235="","",Ruimtestaat!BC235)</f>
        <v/>
      </c>
      <c r="BC235" s="285">
        <f t="shared" si="6"/>
        <v>52</v>
      </c>
      <c r="BD235" s="286">
        <f ca="1">Ruimtestaat!D235*$BC235</f>
        <v>0</v>
      </c>
      <c r="BE235" s="287">
        <f ca="1">Ruimtestaat!E235*$BC235</f>
        <v>0</v>
      </c>
      <c r="BF235" s="287">
        <f>Ruimtestaat!F235*$BC235</f>
        <v>0</v>
      </c>
      <c r="BG235" s="287">
        <f>Ruimtestaat!G235*$BC235</f>
        <v>0</v>
      </c>
      <c r="BH235" s="287">
        <f>Ruimtestaat!H235*$BC235</f>
        <v>0</v>
      </c>
      <c r="BI235" s="288">
        <f ca="1">Ruimtestaat!I235*$BC235</f>
        <v>0</v>
      </c>
      <c r="BJ235" s="289">
        <f ca="1">Ruimtestaat!J235*$BC235</f>
        <v>0</v>
      </c>
      <c r="BK235" s="553"/>
      <c r="BR235" s="284" t="str">
        <f>IF(Ruimtestaat!BC235="","",Ruimtestaat!BC235)</f>
        <v/>
      </c>
      <c r="BS235" s="285">
        <f t="shared" si="7"/>
        <v>52</v>
      </c>
      <c r="BT235" s="286" t="str">
        <f ca="1">IF(BD235&gt;0,IF(ISNUMBER(Schoonmaaknormen!D235),Schoonmaaknormen!BD235/Schoonmaaknormen!D235,0),"")</f>
        <v/>
      </c>
      <c r="BU235" s="287" t="str">
        <f ca="1">IF(BE235&gt;0,IF(ISNUMBER(Schoonmaaknormen!E235),Schoonmaaknormen!BE235/Schoonmaaknormen!E235,0),"")</f>
        <v/>
      </c>
      <c r="BV235" s="287" t="str">
        <f>IF(BF235&gt;0,IF(ISNUMBER(Schoonmaaknormen!F235),Schoonmaaknormen!BF235/Schoonmaaknormen!F235,0),"")</f>
        <v/>
      </c>
      <c r="BW235" s="287" t="str">
        <f>IF(BG235&gt;0,IF(ISNUMBER(Schoonmaaknormen!G235),Schoonmaaknormen!BG235/Schoonmaaknormen!G235,0),"")</f>
        <v/>
      </c>
      <c r="BX235" s="287" t="str">
        <f>IF(BH235&gt;0,IF(ISNUMBER(Schoonmaaknormen!H235),Schoonmaaknormen!BH235/Schoonmaaknormen!H235,0),"")</f>
        <v/>
      </c>
      <c r="BY235" s="288" t="str">
        <f ca="1">IF(BI235&gt;0,IF(ISNUMBER(Schoonmaaknormen!I235),Schoonmaaknormen!BI235/Schoonmaaknormen!I235,0),"")</f>
        <v/>
      </c>
      <c r="BZ235" s="288" t="str">
        <f ca="1">IF(BJ235&gt;0,IF(ISNUMBER(Schoonmaaknormen!J235),Schoonmaaknormen!BJ235/Schoonmaaknormen!J235,0),"")</f>
        <v/>
      </c>
      <c r="CA235" s="549"/>
      <c r="CB235" s="553"/>
    </row>
    <row r="236" spans="1:80" ht="0.2" customHeight="1" x14ac:dyDescent="0.2">
      <c r="A236" s="172">
        <f ca="1">Ruimtestaat!A236</f>
        <v>2</v>
      </c>
      <c r="B236" s="558"/>
      <c r="C236" s="290">
        <v>4</v>
      </c>
      <c r="D236" s="186"/>
      <c r="E236" s="187"/>
      <c r="F236" s="188"/>
      <c r="G236" s="187"/>
      <c r="H236" s="187"/>
      <c r="I236" s="189"/>
      <c r="J236" s="189"/>
      <c r="K236" s="562"/>
      <c r="L236" s="554"/>
      <c r="M236" s="172" t="b">
        <f>IF(_xlfn.XLOOKUP(BB236,Tabel2[Locatiecode],Tabel2[Type locatie],"",0)="vaccin",TRUE,FALSE)</f>
        <v>0</v>
      </c>
      <c r="BB236" s="291" t="str">
        <f>IF(Ruimtestaat!BC236="","",Ruimtestaat!BC236)</f>
        <v/>
      </c>
      <c r="BC236" s="292">
        <f t="shared" si="6"/>
        <v>4</v>
      </c>
      <c r="BD236" s="293">
        <f ca="1">Ruimtestaat!D236*$BC236</f>
        <v>0</v>
      </c>
      <c r="BE236" s="294">
        <f ca="1">Ruimtestaat!E236*$BC236</f>
        <v>0</v>
      </c>
      <c r="BF236" s="294">
        <f ca="1">Ruimtestaat!F236*$BC236</f>
        <v>0</v>
      </c>
      <c r="BG236" s="294">
        <f>Ruimtestaat!G236*$BC236</f>
        <v>0</v>
      </c>
      <c r="BH236" s="294">
        <f>Ruimtestaat!H236*$BC236</f>
        <v>0</v>
      </c>
      <c r="BI236" s="295">
        <f ca="1">Ruimtestaat!I236*$BC236</f>
        <v>0</v>
      </c>
      <c r="BJ236" s="296">
        <f ca="1">Ruimtestaat!J236*$BC236</f>
        <v>0</v>
      </c>
      <c r="BK236" s="554"/>
      <c r="BR236" s="291" t="str">
        <f>IF(Ruimtestaat!BC236="","",Ruimtestaat!BC236)</f>
        <v/>
      </c>
      <c r="BS236" s="292">
        <f t="shared" si="7"/>
        <v>4</v>
      </c>
      <c r="BT236" s="293" t="str">
        <f ca="1">IF(BD236&gt;0,IF(ISNUMBER(Schoonmaaknormen!D236),Schoonmaaknormen!BD236/Schoonmaaknormen!D236,0),"")</f>
        <v/>
      </c>
      <c r="BU236" s="294" t="str">
        <f ca="1">IF(BE236&gt;0,IF(ISNUMBER(Schoonmaaknormen!E236),Schoonmaaknormen!BE236/Schoonmaaknormen!E236,0),"")</f>
        <v/>
      </c>
      <c r="BV236" s="294" t="str">
        <f ca="1">IF(BF236&gt;0,IF(ISNUMBER(Schoonmaaknormen!F236),Schoonmaaknormen!BF236/Schoonmaaknormen!F236,0),"")</f>
        <v/>
      </c>
      <c r="BW236" s="294" t="str">
        <f>IF(BG236&gt;0,IF(ISNUMBER(Schoonmaaknormen!G236),Schoonmaaknormen!BG236/Schoonmaaknormen!G236,0),"")</f>
        <v/>
      </c>
      <c r="BX236" s="294" t="str">
        <f>IF(BH236&gt;0,IF(ISNUMBER(Schoonmaaknormen!H236),Schoonmaaknormen!BH236/Schoonmaaknormen!H236,0),"")</f>
        <v/>
      </c>
      <c r="BY236" s="295" t="str">
        <f ca="1">IF(BI236&gt;0,IF(ISNUMBER(Schoonmaaknormen!I236),Schoonmaaknormen!BI236/Schoonmaaknormen!I236,0),"")</f>
        <v/>
      </c>
      <c r="BZ236" s="295" t="str">
        <f ca="1">IF(BJ236&gt;0,IF(ISNUMBER(Schoonmaaknormen!J236),Schoonmaaknormen!BJ236/Schoonmaaknormen!J236,0),"")</f>
        <v/>
      </c>
      <c r="CA236" s="555"/>
      <c r="CB236" s="554"/>
    </row>
    <row r="237" spans="1:80" ht="0.2" customHeight="1" x14ac:dyDescent="0.2">
      <c r="A237" s="172">
        <f ca="1">Ruimtestaat!A237</f>
        <v>2</v>
      </c>
      <c r="B237" s="556" t="str">
        <f>BB237</f>
        <v/>
      </c>
      <c r="C237" s="298">
        <v>255</v>
      </c>
      <c r="D237" s="299"/>
      <c r="E237" s="300"/>
      <c r="F237" s="301"/>
      <c r="G237" s="300"/>
      <c r="H237" s="300"/>
      <c r="I237" s="302"/>
      <c r="J237" s="302"/>
      <c r="K237" s="559"/>
      <c r="L237" s="551" t="str" cm="1">
        <f t="array" aca="1" ref="L237" ca="1">_xlfn.IFS(A237=2,"",COUNTBLANK(D237:J242)=COUNTIF(Ruimtestaat!D237:J242,"&lt;=0"),BK237/CB237,TRUE,"")</f>
        <v/>
      </c>
      <c r="M237" s="172" t="b">
        <f>IF(_xlfn.XLOOKUP(BB237,Tabel2[Locatiecode],Tabel2[Type locatie],"",0)="vaccin",TRUE,FALSE)</f>
        <v>0</v>
      </c>
      <c r="BB237" s="303" t="str">
        <f>IF(Ruimtestaat!BC237="","",Ruimtestaat!BC237)</f>
        <v/>
      </c>
      <c r="BC237" s="304">
        <f t="shared" si="6"/>
        <v>255</v>
      </c>
      <c r="BD237" s="305">
        <f ca="1">Ruimtestaat!D237*$BC237</f>
        <v>0</v>
      </c>
      <c r="BE237" s="306">
        <f ca="1">Ruimtestaat!E237*$BC237</f>
        <v>0</v>
      </c>
      <c r="BF237" s="306">
        <f ca="1">Ruimtestaat!F237*$BC237</f>
        <v>0</v>
      </c>
      <c r="BG237" s="306">
        <f ca="1">Ruimtestaat!G237*$BC237</f>
        <v>0</v>
      </c>
      <c r="BH237" s="306">
        <f ca="1">Ruimtestaat!H237*$BC237</f>
        <v>0</v>
      </c>
      <c r="BI237" s="307">
        <f ca="1">Ruimtestaat!I237*$BC237</f>
        <v>0</v>
      </c>
      <c r="BJ237" s="308">
        <f ca="1">Ruimtestaat!J237*$BC237</f>
        <v>0</v>
      </c>
      <c r="BK237" s="552">
        <f ca="1">SUM(BD237:BJ242)</f>
        <v>0</v>
      </c>
      <c r="BR237" s="303" t="str">
        <f>IF(Ruimtestaat!BC237="","",Ruimtestaat!BC237)</f>
        <v/>
      </c>
      <c r="BS237" s="304">
        <f t="shared" si="7"/>
        <v>255</v>
      </c>
      <c r="BT237" s="305" t="str">
        <f ca="1">IF(BD237&gt;0,IF(ISNUMBER(Schoonmaaknormen!D237),Schoonmaaknormen!BD237/Schoonmaaknormen!D237,0),"")</f>
        <v/>
      </c>
      <c r="BU237" s="306" t="str">
        <f ca="1">IF(BE237&gt;0,IF(ISNUMBER(Schoonmaaknormen!E237),Schoonmaaknormen!BE237/Schoonmaaknormen!E237,0),"")</f>
        <v/>
      </c>
      <c r="BV237" s="306" t="str">
        <f ca="1">IF(BF237&gt;0,IF(ISNUMBER(Schoonmaaknormen!F237),Schoonmaaknormen!BF237/Schoonmaaknormen!F237,0),"")</f>
        <v/>
      </c>
      <c r="BW237" s="306" t="str">
        <f ca="1">IF(BG237&gt;0,IF(ISNUMBER(Schoonmaaknormen!G237),Schoonmaaknormen!BG237/Schoonmaaknormen!G237,0),"")</f>
        <v/>
      </c>
      <c r="BX237" s="306" t="str">
        <f ca="1">IF(BH237&gt;0,IF(ISNUMBER(Schoonmaaknormen!H237),Schoonmaaknormen!BH237/Schoonmaaknormen!H237,0),"")</f>
        <v/>
      </c>
      <c r="BY237" s="315" t="str">
        <f ca="1">IF(BI237&gt;0,IF(ISNUMBER(Schoonmaaknormen!I237),Schoonmaaknormen!BI237/Schoonmaaknormen!I237,0),"")</f>
        <v/>
      </c>
      <c r="BZ237" s="315" t="str">
        <f ca="1">IF(BJ237&gt;0,IF(ISNUMBER(Schoonmaaknormen!J237),Schoonmaaknormen!BJ237/Schoonmaaknormen!J237,0),"")</f>
        <v/>
      </c>
      <c r="CA237" s="547" t="str" cm="1">
        <f t="array" ref="CA237">IF(ISNUMBER(K237),IF(SUM(BT237:BZ242)/LARGE(_xlfn._xlws.FILTER(Ruimtestaat!BD:BD,Ruimtestaat!BC:BC=BR237),1)&lt;K237,K237*LARGE(_xlfn._xlws.FILTER(Ruimtestaat!BD:BD,Ruimtestaat!BC:BC=BR237),1)-SUM(BT237:BZ242),0),"")</f>
        <v/>
      </c>
      <c r="CB237" s="551">
        <f ca="1">SUM(BT237:CA242)</f>
        <v>0</v>
      </c>
    </row>
    <row r="238" spans="1:80" ht="0.2" customHeight="1" x14ac:dyDescent="0.2">
      <c r="A238" s="172">
        <f ca="1">Ruimtestaat!A238</f>
        <v>2</v>
      </c>
      <c r="B238" s="557"/>
      <c r="C238" s="11">
        <v>204</v>
      </c>
      <c r="D238" s="309"/>
      <c r="E238" s="310"/>
      <c r="F238" s="311"/>
      <c r="G238" s="310"/>
      <c r="H238" s="310"/>
      <c r="I238" s="312"/>
      <c r="J238" s="312"/>
      <c r="K238" s="560"/>
      <c r="L238" s="552"/>
      <c r="M238" s="172" t="b">
        <f>IF(_xlfn.XLOOKUP(BB238,Tabel2[Locatiecode],Tabel2[Type locatie],"",0)="vaccin",TRUE,FALSE)</f>
        <v>0</v>
      </c>
      <c r="BB238" s="272" t="str">
        <f>IF(Ruimtestaat!BC238="","",Ruimtestaat!BC238)</f>
        <v/>
      </c>
      <c r="BC238" s="273">
        <f t="shared" si="6"/>
        <v>204</v>
      </c>
      <c r="BD238" s="274">
        <f ca="1">Ruimtestaat!D238*$BC238</f>
        <v>0</v>
      </c>
      <c r="BE238" s="275">
        <f ca="1">Ruimtestaat!E238*$BC238</f>
        <v>0</v>
      </c>
      <c r="BF238" s="275">
        <f ca="1">Ruimtestaat!F238*$BC238</f>
        <v>0</v>
      </c>
      <c r="BG238" s="275">
        <f ca="1">Ruimtestaat!G238*$BC238</f>
        <v>0</v>
      </c>
      <c r="BH238" s="275">
        <f ca="1">Ruimtestaat!H238*$BC238</f>
        <v>0</v>
      </c>
      <c r="BI238" s="276">
        <f ca="1">Ruimtestaat!I238*$BC238</f>
        <v>0</v>
      </c>
      <c r="BJ238" s="277">
        <f ca="1">Ruimtestaat!J238*$BC238</f>
        <v>0</v>
      </c>
      <c r="BK238" s="552"/>
      <c r="BR238" s="272" t="str">
        <f>IF(Ruimtestaat!BC238="","",Ruimtestaat!BC238)</f>
        <v/>
      </c>
      <c r="BS238" s="273">
        <f t="shared" si="7"/>
        <v>204</v>
      </c>
      <c r="BT238" s="274" t="str">
        <f ca="1">IF(BD238&gt;0,IF(ISNUMBER(Schoonmaaknormen!D238),Schoonmaaknormen!BD238/Schoonmaaknormen!D238,0),"")</f>
        <v/>
      </c>
      <c r="BU238" s="275" t="str">
        <f ca="1">IF(BE238&gt;0,IF(ISNUMBER(Schoonmaaknormen!E238),Schoonmaaknormen!BE238/Schoonmaaknormen!E238,0),"")</f>
        <v/>
      </c>
      <c r="BV238" s="275" t="str">
        <f ca="1">IF(BF238&gt;0,IF(ISNUMBER(Schoonmaaknormen!F238),Schoonmaaknormen!BF238/Schoonmaaknormen!F238,0),"")</f>
        <v/>
      </c>
      <c r="BW238" s="275" t="str">
        <f ca="1">IF(BG238&gt;0,IF(ISNUMBER(Schoonmaaknormen!G238),Schoonmaaknormen!BG238/Schoonmaaknormen!G238,0),"")</f>
        <v/>
      </c>
      <c r="BX238" s="275" t="str">
        <f ca="1">IF(BH238&gt;0,IF(ISNUMBER(Schoonmaaknormen!H238),Schoonmaaknormen!BH238/Schoonmaaknormen!H238,0),"")</f>
        <v/>
      </c>
      <c r="BY238" s="276" t="str">
        <f ca="1">IF(BI238&gt;0,IF(ISNUMBER(Schoonmaaknormen!I238),Schoonmaaknormen!BI238/Schoonmaaknormen!I238,0),"")</f>
        <v/>
      </c>
      <c r="BZ238" s="276" t="str">
        <f ca="1">IF(BJ238&gt;0,IF(ISNUMBER(Schoonmaaknormen!J238),Schoonmaaknormen!BJ238/Schoonmaaknormen!J238,0),"")</f>
        <v/>
      </c>
      <c r="CA238" s="548"/>
      <c r="CB238" s="552"/>
    </row>
    <row r="239" spans="1:80" ht="0.2" customHeight="1" x14ac:dyDescent="0.2">
      <c r="A239" s="172">
        <f ca="1">Ruimtestaat!A239</f>
        <v>2</v>
      </c>
      <c r="B239" s="557"/>
      <c r="C239" s="11">
        <v>156</v>
      </c>
      <c r="D239" s="309"/>
      <c r="E239" s="310"/>
      <c r="F239" s="311"/>
      <c r="G239" s="310"/>
      <c r="H239" s="310"/>
      <c r="I239" s="312"/>
      <c r="J239" s="312"/>
      <c r="K239" s="560"/>
      <c r="L239" s="552"/>
      <c r="M239" s="172" t="b">
        <f>IF(_xlfn.XLOOKUP(BB239,Tabel2[Locatiecode],Tabel2[Type locatie],"",0)="vaccin",TRUE,FALSE)</f>
        <v>0</v>
      </c>
      <c r="BB239" s="272" t="str">
        <f>IF(Ruimtestaat!BC239="","",Ruimtestaat!BC239)</f>
        <v/>
      </c>
      <c r="BC239" s="273">
        <f t="shared" si="6"/>
        <v>156</v>
      </c>
      <c r="BD239" s="274">
        <f ca="1">Ruimtestaat!D239*$BC239</f>
        <v>0</v>
      </c>
      <c r="BE239" s="275">
        <f ca="1">Ruimtestaat!E239*$BC239</f>
        <v>0</v>
      </c>
      <c r="BF239" s="275">
        <f ca="1">Ruimtestaat!F239*$BC239</f>
        <v>0</v>
      </c>
      <c r="BG239" s="275">
        <f ca="1">Ruimtestaat!G239*$BC239</f>
        <v>0</v>
      </c>
      <c r="BH239" s="275">
        <f ca="1">Ruimtestaat!H239*$BC239</f>
        <v>0</v>
      </c>
      <c r="BI239" s="276">
        <f ca="1">Ruimtestaat!I239*$BC239</f>
        <v>0</v>
      </c>
      <c r="BJ239" s="277">
        <f ca="1">Ruimtestaat!J239*$BC239</f>
        <v>0</v>
      </c>
      <c r="BK239" s="552"/>
      <c r="BR239" s="272" t="str">
        <f>IF(Ruimtestaat!BC239="","",Ruimtestaat!BC239)</f>
        <v/>
      </c>
      <c r="BS239" s="273">
        <f t="shared" si="7"/>
        <v>156</v>
      </c>
      <c r="BT239" s="274" t="str">
        <f ca="1">IF(BD239&gt;0,IF(ISNUMBER(Schoonmaaknormen!D239),Schoonmaaknormen!BD239/Schoonmaaknormen!D239,0),"")</f>
        <v/>
      </c>
      <c r="BU239" s="275" t="str">
        <f ca="1">IF(BE239&gt;0,IF(ISNUMBER(Schoonmaaknormen!E239),Schoonmaaknormen!BE239/Schoonmaaknormen!E239,0),"")</f>
        <v/>
      </c>
      <c r="BV239" s="275" t="str">
        <f ca="1">IF(BF239&gt;0,IF(ISNUMBER(Schoonmaaknormen!F239),Schoonmaaknormen!BF239/Schoonmaaknormen!F239,0),"")</f>
        <v/>
      </c>
      <c r="BW239" s="275" t="str">
        <f ca="1">IF(BG239&gt;0,IF(ISNUMBER(Schoonmaaknormen!G239),Schoonmaaknormen!BG239/Schoonmaaknormen!G239,0),"")</f>
        <v/>
      </c>
      <c r="BX239" s="275" t="str">
        <f ca="1">IF(BH239&gt;0,IF(ISNUMBER(Schoonmaaknormen!H239),Schoonmaaknormen!BH239/Schoonmaaknormen!H239,0),"")</f>
        <v/>
      </c>
      <c r="BY239" s="276" t="str">
        <f ca="1">IF(BI239&gt;0,IF(ISNUMBER(Schoonmaaknormen!I239),Schoonmaaknormen!BI239/Schoonmaaknormen!I239,0),"")</f>
        <v/>
      </c>
      <c r="BZ239" s="276" t="str">
        <f ca="1">IF(BJ239&gt;0,IF(ISNUMBER(Schoonmaaknormen!J239),Schoonmaaknormen!BJ239/Schoonmaaknormen!J239,0),"")</f>
        <v/>
      </c>
      <c r="CA239" s="548"/>
      <c r="CB239" s="552"/>
    </row>
    <row r="240" spans="1:80" ht="0.2" customHeight="1" x14ac:dyDescent="0.2">
      <c r="A240" s="172">
        <f ca="1">Ruimtestaat!A240</f>
        <v>2</v>
      </c>
      <c r="B240" s="557"/>
      <c r="C240" s="11">
        <v>104</v>
      </c>
      <c r="D240" s="309"/>
      <c r="E240" s="310"/>
      <c r="F240" s="311"/>
      <c r="G240" s="310"/>
      <c r="H240" s="310"/>
      <c r="I240" s="312"/>
      <c r="J240" s="312"/>
      <c r="K240" s="561"/>
      <c r="L240" s="553"/>
      <c r="M240" s="172" t="b">
        <f>IF(_xlfn.XLOOKUP(BB240,Tabel2[Locatiecode],Tabel2[Type locatie],"",0)="vaccin",TRUE,FALSE)</f>
        <v>0</v>
      </c>
      <c r="BB240" s="278" t="str">
        <f>IF(Ruimtestaat!BC240="","",Ruimtestaat!BC240)</f>
        <v/>
      </c>
      <c r="BC240" s="279">
        <f t="shared" si="6"/>
        <v>104</v>
      </c>
      <c r="BD240" s="280">
        <f ca="1">Ruimtestaat!D240*$BC240</f>
        <v>0</v>
      </c>
      <c r="BE240" s="281">
        <f ca="1">Ruimtestaat!E240*$BC240</f>
        <v>0</v>
      </c>
      <c r="BF240" s="281">
        <f ca="1">Ruimtestaat!F240*$BC240</f>
        <v>0</v>
      </c>
      <c r="BG240" s="281">
        <f ca="1">Ruimtestaat!G240*$BC240</f>
        <v>0</v>
      </c>
      <c r="BH240" s="281">
        <f ca="1">Ruimtestaat!H240*$BC240</f>
        <v>0</v>
      </c>
      <c r="BI240" s="282">
        <f ca="1">Ruimtestaat!I240*$BC240</f>
        <v>0</v>
      </c>
      <c r="BJ240" s="283">
        <f ca="1">Ruimtestaat!J240*$BC240</f>
        <v>0</v>
      </c>
      <c r="BK240" s="553"/>
      <c r="BR240" s="278" t="str">
        <f>IF(Ruimtestaat!BC240="","",Ruimtestaat!BC240)</f>
        <v/>
      </c>
      <c r="BS240" s="313">
        <f t="shared" si="7"/>
        <v>104</v>
      </c>
      <c r="BT240" s="280" t="str">
        <f ca="1">IF(BD240&gt;0,IF(ISNUMBER(Schoonmaaknormen!D240),Schoonmaaknormen!BD240/Schoonmaaknormen!D240,0),"")</f>
        <v/>
      </c>
      <c r="BU240" s="314" t="str">
        <f ca="1">IF(BE240&gt;0,IF(ISNUMBER(Schoonmaaknormen!E240),Schoonmaaknormen!BE240/Schoonmaaknormen!E240,0),"")</f>
        <v/>
      </c>
      <c r="BV240" s="314" t="str">
        <f ca="1">IF(BF240&gt;0,IF(ISNUMBER(Schoonmaaknormen!F240),Schoonmaaknormen!BF240/Schoonmaaknormen!F240,0),"")</f>
        <v/>
      </c>
      <c r="BW240" s="314" t="str">
        <f ca="1">IF(BG240&gt;0,IF(ISNUMBER(Schoonmaaknormen!G240),Schoonmaaknormen!BG240/Schoonmaaknormen!G240,0),"")</f>
        <v/>
      </c>
      <c r="BX240" s="314" t="str">
        <f ca="1">IF(BH240&gt;0,IF(ISNUMBER(Schoonmaaknormen!H240),Schoonmaaknormen!BH240/Schoonmaaknormen!H240,0),"")</f>
        <v/>
      </c>
      <c r="BY240" s="282" t="str">
        <f ca="1">IF(BI240&gt;0,IF(ISNUMBER(Schoonmaaknormen!I240),Schoonmaaknormen!BI240/Schoonmaaknormen!I240,0),"")</f>
        <v/>
      </c>
      <c r="BZ240" s="282" t="str">
        <f ca="1">IF(BJ240&gt;0,IF(ISNUMBER(Schoonmaaknormen!J240),Schoonmaaknormen!BJ240/Schoonmaaknormen!J240,0),"")</f>
        <v/>
      </c>
      <c r="CA240" s="549"/>
      <c r="CB240" s="553"/>
    </row>
    <row r="241" spans="1:80" ht="0.2" customHeight="1" x14ac:dyDescent="0.2">
      <c r="A241" s="172">
        <f ca="1">Ruimtestaat!A241</f>
        <v>2</v>
      </c>
      <c r="B241" s="557"/>
      <c r="C241" s="11">
        <v>52</v>
      </c>
      <c r="D241" s="309"/>
      <c r="E241" s="310"/>
      <c r="F241" s="311"/>
      <c r="G241" s="310"/>
      <c r="H241" s="310"/>
      <c r="I241" s="312"/>
      <c r="J241" s="312"/>
      <c r="K241" s="561"/>
      <c r="L241" s="553"/>
      <c r="M241" s="172" t="b">
        <f>IF(_xlfn.XLOOKUP(BB241,Tabel2[Locatiecode],Tabel2[Type locatie],"",0)="vaccin",TRUE,FALSE)</f>
        <v>0</v>
      </c>
      <c r="BB241" s="284" t="str">
        <f>IF(Ruimtestaat!BC241="","",Ruimtestaat!BC241)</f>
        <v/>
      </c>
      <c r="BC241" s="285">
        <f t="shared" si="6"/>
        <v>52</v>
      </c>
      <c r="BD241" s="286">
        <f ca="1">Ruimtestaat!D241*$BC241</f>
        <v>0</v>
      </c>
      <c r="BE241" s="287">
        <f ca="1">Ruimtestaat!E241*$BC241</f>
        <v>0</v>
      </c>
      <c r="BF241" s="287">
        <f ca="1">Ruimtestaat!F241*$BC241</f>
        <v>0</v>
      </c>
      <c r="BG241" s="287">
        <f ca="1">Ruimtestaat!G241*$BC241</f>
        <v>0</v>
      </c>
      <c r="BH241" s="287">
        <f ca="1">Ruimtestaat!H241*$BC241</f>
        <v>0</v>
      </c>
      <c r="BI241" s="288">
        <f ca="1">Ruimtestaat!I241*$BC241</f>
        <v>0</v>
      </c>
      <c r="BJ241" s="289">
        <f ca="1">Ruimtestaat!J241*$BC241</f>
        <v>0</v>
      </c>
      <c r="BK241" s="553"/>
      <c r="BR241" s="284" t="str">
        <f>IF(Ruimtestaat!BC241="","",Ruimtestaat!BC241)</f>
        <v/>
      </c>
      <c r="BS241" s="285">
        <f t="shared" si="7"/>
        <v>52</v>
      </c>
      <c r="BT241" s="286" t="str">
        <f ca="1">IF(BD241&gt;0,IF(ISNUMBER(Schoonmaaknormen!D241),Schoonmaaknormen!BD241/Schoonmaaknormen!D241,0),"")</f>
        <v/>
      </c>
      <c r="BU241" s="287" t="str">
        <f ca="1">IF(BE241&gt;0,IF(ISNUMBER(Schoonmaaknormen!E241),Schoonmaaknormen!BE241/Schoonmaaknormen!E241,0),"")</f>
        <v/>
      </c>
      <c r="BV241" s="287" t="str">
        <f ca="1">IF(BF241&gt;0,IF(ISNUMBER(Schoonmaaknormen!F241),Schoonmaaknormen!BF241/Schoonmaaknormen!F241,0),"")</f>
        <v/>
      </c>
      <c r="BW241" s="287" t="str">
        <f ca="1">IF(BG241&gt;0,IF(ISNUMBER(Schoonmaaknormen!G241),Schoonmaaknormen!BG241/Schoonmaaknormen!G241,0),"")</f>
        <v/>
      </c>
      <c r="BX241" s="287" t="str">
        <f ca="1">IF(BH241&gt;0,IF(ISNUMBER(Schoonmaaknormen!H241),Schoonmaaknormen!BH241/Schoonmaaknormen!H241,0),"")</f>
        <v/>
      </c>
      <c r="BY241" s="288" t="str">
        <f ca="1">IF(BI241&gt;0,IF(ISNUMBER(Schoonmaaknormen!I241),Schoonmaaknormen!BI241/Schoonmaaknormen!I241,0),"")</f>
        <v/>
      </c>
      <c r="BZ241" s="288" t="str">
        <f ca="1">IF(BJ241&gt;0,IF(ISNUMBER(Schoonmaaknormen!J241),Schoonmaaknormen!BJ241/Schoonmaaknormen!J241,0),"")</f>
        <v/>
      </c>
      <c r="CA241" s="549"/>
      <c r="CB241" s="553"/>
    </row>
    <row r="242" spans="1:80" ht="0.2" customHeight="1" x14ac:dyDescent="0.2">
      <c r="A242" s="172">
        <f ca="1">Ruimtestaat!A242</f>
        <v>2</v>
      </c>
      <c r="B242" s="558"/>
      <c r="C242" s="290">
        <v>4</v>
      </c>
      <c r="D242" s="186"/>
      <c r="E242" s="187"/>
      <c r="F242" s="188"/>
      <c r="G242" s="187"/>
      <c r="H242" s="187"/>
      <c r="I242" s="189"/>
      <c r="J242" s="189"/>
      <c r="K242" s="562"/>
      <c r="L242" s="554"/>
      <c r="M242" s="172" t="b">
        <f>IF(_xlfn.XLOOKUP(BB242,Tabel2[Locatiecode],Tabel2[Type locatie],"",0)="vaccin",TRUE,FALSE)</f>
        <v>0</v>
      </c>
      <c r="BB242" s="291" t="str">
        <f>IF(Ruimtestaat!BC242="","",Ruimtestaat!BC242)</f>
        <v/>
      </c>
      <c r="BC242" s="292">
        <f t="shared" si="6"/>
        <v>4</v>
      </c>
      <c r="BD242" s="293">
        <f ca="1">Ruimtestaat!D242*$BC242</f>
        <v>0</v>
      </c>
      <c r="BE242" s="294">
        <f ca="1">Ruimtestaat!E242*$BC242</f>
        <v>0</v>
      </c>
      <c r="BF242" s="294">
        <f ca="1">Ruimtestaat!F242*$BC242</f>
        <v>0</v>
      </c>
      <c r="BG242" s="294">
        <f ca="1">Ruimtestaat!G242*$BC242</f>
        <v>0</v>
      </c>
      <c r="BH242" s="294">
        <f ca="1">Ruimtestaat!H242*$BC242</f>
        <v>0</v>
      </c>
      <c r="BI242" s="295">
        <f ca="1">Ruimtestaat!I242*$BC242</f>
        <v>0</v>
      </c>
      <c r="BJ242" s="296">
        <f ca="1">Ruimtestaat!J242*$BC242</f>
        <v>0</v>
      </c>
      <c r="BK242" s="554"/>
      <c r="BR242" s="291" t="str">
        <f>IF(Ruimtestaat!BC242="","",Ruimtestaat!BC242)</f>
        <v/>
      </c>
      <c r="BS242" s="292">
        <f t="shared" si="7"/>
        <v>4</v>
      </c>
      <c r="BT242" s="293" t="str">
        <f ca="1">IF(BD242&gt;0,IF(ISNUMBER(Schoonmaaknormen!D242),Schoonmaaknormen!BD242/Schoonmaaknormen!D242,0),"")</f>
        <v/>
      </c>
      <c r="BU242" s="294" t="str">
        <f ca="1">IF(BE242&gt;0,IF(ISNUMBER(Schoonmaaknormen!E242),Schoonmaaknormen!BE242/Schoonmaaknormen!E242,0),"")</f>
        <v/>
      </c>
      <c r="BV242" s="294" t="str">
        <f ca="1">IF(BF242&gt;0,IF(ISNUMBER(Schoonmaaknormen!F242),Schoonmaaknormen!BF242/Schoonmaaknormen!F242,0),"")</f>
        <v/>
      </c>
      <c r="BW242" s="294" t="str">
        <f ca="1">IF(BG242&gt;0,IF(ISNUMBER(Schoonmaaknormen!G242),Schoonmaaknormen!BG242/Schoonmaaknormen!G242,0),"")</f>
        <v/>
      </c>
      <c r="BX242" s="294" t="str">
        <f ca="1">IF(BH242&gt;0,IF(ISNUMBER(Schoonmaaknormen!H242),Schoonmaaknormen!BH242/Schoonmaaknormen!H242,0),"")</f>
        <v/>
      </c>
      <c r="BY242" s="295" t="str">
        <f ca="1">IF(BI242&gt;0,IF(ISNUMBER(Schoonmaaknormen!I242),Schoonmaaknormen!BI242/Schoonmaaknormen!I242,0),"")</f>
        <v/>
      </c>
      <c r="BZ242" s="295" t="str">
        <f ca="1">IF(BJ242&gt;0,IF(ISNUMBER(Schoonmaaknormen!J242),Schoonmaaknormen!BJ242/Schoonmaaknormen!J242,0),"")</f>
        <v/>
      </c>
      <c r="CA242" s="555"/>
      <c r="CB242" s="554"/>
    </row>
    <row r="243" spans="1:80" ht="0.2" customHeight="1" x14ac:dyDescent="0.2">
      <c r="A243" s="172">
        <f ca="1">Ruimtestaat!A243</f>
        <v>2</v>
      </c>
      <c r="B243" s="556" t="str">
        <f>BB243</f>
        <v/>
      </c>
      <c r="C243" s="298">
        <v>255</v>
      </c>
      <c r="D243" s="299"/>
      <c r="E243" s="300"/>
      <c r="F243" s="301"/>
      <c r="G243" s="300"/>
      <c r="H243" s="300"/>
      <c r="I243" s="302"/>
      <c r="J243" s="302"/>
      <c r="K243" s="559"/>
      <c r="L243" s="551" t="str" cm="1">
        <f t="array" aca="1" ref="L243" ca="1">_xlfn.IFS(A243=2,"",COUNTBLANK(D243:J248)=COUNTIF(Ruimtestaat!D243:J248,"&lt;=0"),BK243/CB243,TRUE,"")</f>
        <v/>
      </c>
      <c r="M243" s="172" t="b">
        <f>IF(_xlfn.XLOOKUP(BB243,Tabel2[Locatiecode],Tabel2[Type locatie],"",0)="vaccin",TRUE,FALSE)</f>
        <v>0</v>
      </c>
      <c r="BB243" s="303" t="str">
        <f>IF(Ruimtestaat!BC243="","",Ruimtestaat!BC243)</f>
        <v/>
      </c>
      <c r="BC243" s="304">
        <f t="shared" si="6"/>
        <v>255</v>
      </c>
      <c r="BD243" s="305">
        <f ca="1">Ruimtestaat!D243*$BC243</f>
        <v>0</v>
      </c>
      <c r="BE243" s="306">
        <f ca="1">Ruimtestaat!E243*$BC243</f>
        <v>0</v>
      </c>
      <c r="BF243" s="306">
        <f ca="1">Ruimtestaat!F243*$BC243</f>
        <v>0</v>
      </c>
      <c r="BG243" s="306">
        <f ca="1">Ruimtestaat!G243*$BC243</f>
        <v>0</v>
      </c>
      <c r="BH243" s="306">
        <f ca="1">Ruimtestaat!H243*$BC243</f>
        <v>0</v>
      </c>
      <c r="BI243" s="307">
        <f ca="1">Ruimtestaat!I243*$BC243</f>
        <v>0</v>
      </c>
      <c r="BJ243" s="308">
        <f ca="1">Ruimtestaat!J243*$BC243</f>
        <v>0</v>
      </c>
      <c r="BK243" s="552">
        <f ca="1">SUM(BD243:BJ248)</f>
        <v>0</v>
      </c>
      <c r="BR243" s="303" t="str">
        <f>IF(Ruimtestaat!BC243="","",Ruimtestaat!BC243)</f>
        <v/>
      </c>
      <c r="BS243" s="304">
        <f t="shared" si="7"/>
        <v>255</v>
      </c>
      <c r="BT243" s="305" t="str">
        <f ca="1">IF(BD243&gt;0,IF(ISNUMBER(Schoonmaaknormen!D243),Schoonmaaknormen!BD243/Schoonmaaknormen!D243,0),"")</f>
        <v/>
      </c>
      <c r="BU243" s="306" t="str">
        <f ca="1">IF(BE243&gt;0,IF(ISNUMBER(Schoonmaaknormen!E243),Schoonmaaknormen!BE243/Schoonmaaknormen!E243,0),"")</f>
        <v/>
      </c>
      <c r="BV243" s="306" t="str">
        <f ca="1">IF(BF243&gt;0,IF(ISNUMBER(Schoonmaaknormen!F243),Schoonmaaknormen!BF243/Schoonmaaknormen!F243,0),"")</f>
        <v/>
      </c>
      <c r="BW243" s="306" t="str">
        <f ca="1">IF(BG243&gt;0,IF(ISNUMBER(Schoonmaaknormen!G243),Schoonmaaknormen!BG243/Schoonmaaknormen!G243,0),"")</f>
        <v/>
      </c>
      <c r="BX243" s="306" t="str">
        <f ca="1">IF(BH243&gt;0,IF(ISNUMBER(Schoonmaaknormen!H243),Schoonmaaknormen!BH243/Schoonmaaknormen!H243,0),"")</f>
        <v/>
      </c>
      <c r="BY243" s="315" t="str">
        <f ca="1">IF(BI243&gt;0,IF(ISNUMBER(Schoonmaaknormen!I243),Schoonmaaknormen!BI243/Schoonmaaknormen!I243,0),"")</f>
        <v/>
      </c>
      <c r="BZ243" s="315" t="str">
        <f ca="1">IF(BJ243&gt;0,IF(ISNUMBER(Schoonmaaknormen!J243),Schoonmaaknormen!BJ243/Schoonmaaknormen!J243,0),"")</f>
        <v/>
      </c>
      <c r="CA243" s="547" t="str" cm="1">
        <f t="array" ref="CA243">IF(ISNUMBER(K243),IF(SUM(BT243:BZ248)/LARGE(_xlfn._xlws.FILTER(Ruimtestaat!BD:BD,Ruimtestaat!BC:BC=BR243),1)&lt;K243,K243*LARGE(_xlfn._xlws.FILTER(Ruimtestaat!BD:BD,Ruimtestaat!BC:BC=BR243),1)-SUM(BT243:BZ248),0),"")</f>
        <v/>
      </c>
      <c r="CB243" s="551">
        <f ca="1">SUM(BT243:CA248)</f>
        <v>0</v>
      </c>
    </row>
    <row r="244" spans="1:80" ht="0.2" customHeight="1" x14ac:dyDescent="0.2">
      <c r="A244" s="172">
        <f ca="1">Ruimtestaat!A244</f>
        <v>2</v>
      </c>
      <c r="B244" s="557"/>
      <c r="C244" s="11">
        <v>204</v>
      </c>
      <c r="D244" s="309"/>
      <c r="E244" s="310"/>
      <c r="F244" s="311"/>
      <c r="G244" s="310"/>
      <c r="H244" s="310"/>
      <c r="I244" s="312"/>
      <c r="J244" s="312"/>
      <c r="K244" s="560"/>
      <c r="L244" s="552"/>
      <c r="M244" s="172" t="b">
        <f>IF(_xlfn.XLOOKUP(BB244,Tabel2[Locatiecode],Tabel2[Type locatie],"",0)="vaccin",TRUE,FALSE)</f>
        <v>0</v>
      </c>
      <c r="BB244" s="272" t="str">
        <f>IF(Ruimtestaat!BC244="","",Ruimtestaat!BC244)</f>
        <v/>
      </c>
      <c r="BC244" s="273">
        <f t="shared" si="6"/>
        <v>204</v>
      </c>
      <c r="BD244" s="274">
        <f ca="1">Ruimtestaat!D244*$BC244</f>
        <v>0</v>
      </c>
      <c r="BE244" s="275">
        <f ca="1">Ruimtestaat!E244*$BC244</f>
        <v>0</v>
      </c>
      <c r="BF244" s="275">
        <f ca="1">Ruimtestaat!F244*$BC244</f>
        <v>0</v>
      </c>
      <c r="BG244" s="275">
        <f ca="1">Ruimtestaat!G244*$BC244</f>
        <v>0</v>
      </c>
      <c r="BH244" s="275">
        <f ca="1">Ruimtestaat!H244*$BC244</f>
        <v>0</v>
      </c>
      <c r="BI244" s="276">
        <f ca="1">Ruimtestaat!I244*$BC244</f>
        <v>0</v>
      </c>
      <c r="BJ244" s="277">
        <f ca="1">Ruimtestaat!J244*$BC244</f>
        <v>0</v>
      </c>
      <c r="BK244" s="552"/>
      <c r="BR244" s="272" t="str">
        <f>IF(Ruimtestaat!BC244="","",Ruimtestaat!BC244)</f>
        <v/>
      </c>
      <c r="BS244" s="273">
        <f t="shared" si="7"/>
        <v>204</v>
      </c>
      <c r="BT244" s="274" t="str">
        <f ca="1">IF(BD244&gt;0,IF(ISNUMBER(Schoonmaaknormen!D244),Schoonmaaknormen!BD244/Schoonmaaknormen!D244,0),"")</f>
        <v/>
      </c>
      <c r="BU244" s="275" t="str">
        <f ca="1">IF(BE244&gt;0,IF(ISNUMBER(Schoonmaaknormen!E244),Schoonmaaknormen!BE244/Schoonmaaknormen!E244,0),"")</f>
        <v/>
      </c>
      <c r="BV244" s="275" t="str">
        <f ca="1">IF(BF244&gt;0,IF(ISNUMBER(Schoonmaaknormen!F244),Schoonmaaknormen!BF244/Schoonmaaknormen!F244,0),"")</f>
        <v/>
      </c>
      <c r="BW244" s="275" t="str">
        <f ca="1">IF(BG244&gt;0,IF(ISNUMBER(Schoonmaaknormen!G244),Schoonmaaknormen!BG244/Schoonmaaknormen!G244,0),"")</f>
        <v/>
      </c>
      <c r="BX244" s="275" t="str">
        <f ca="1">IF(BH244&gt;0,IF(ISNUMBER(Schoonmaaknormen!H244),Schoonmaaknormen!BH244/Schoonmaaknormen!H244,0),"")</f>
        <v/>
      </c>
      <c r="BY244" s="276" t="str">
        <f ca="1">IF(BI244&gt;0,IF(ISNUMBER(Schoonmaaknormen!I244),Schoonmaaknormen!BI244/Schoonmaaknormen!I244,0),"")</f>
        <v/>
      </c>
      <c r="BZ244" s="276" t="str">
        <f ca="1">IF(BJ244&gt;0,IF(ISNUMBER(Schoonmaaknormen!J244),Schoonmaaknormen!BJ244/Schoonmaaknormen!J244,0),"")</f>
        <v/>
      </c>
      <c r="CA244" s="548"/>
      <c r="CB244" s="552"/>
    </row>
    <row r="245" spans="1:80" ht="0.2" customHeight="1" x14ac:dyDescent="0.2">
      <c r="A245" s="172">
        <f ca="1">Ruimtestaat!A245</f>
        <v>2</v>
      </c>
      <c r="B245" s="557"/>
      <c r="C245" s="11">
        <v>156</v>
      </c>
      <c r="D245" s="309"/>
      <c r="E245" s="310"/>
      <c r="F245" s="311"/>
      <c r="G245" s="310"/>
      <c r="H245" s="310"/>
      <c r="I245" s="312"/>
      <c r="J245" s="312"/>
      <c r="K245" s="560"/>
      <c r="L245" s="552"/>
      <c r="M245" s="172" t="b">
        <f>IF(_xlfn.XLOOKUP(BB245,Tabel2[Locatiecode],Tabel2[Type locatie],"",0)="vaccin",TRUE,FALSE)</f>
        <v>0</v>
      </c>
      <c r="BB245" s="272" t="str">
        <f>IF(Ruimtestaat!BC245="","",Ruimtestaat!BC245)</f>
        <v/>
      </c>
      <c r="BC245" s="273">
        <f t="shared" si="6"/>
        <v>156</v>
      </c>
      <c r="BD245" s="274">
        <f ca="1">Ruimtestaat!D245*$BC245</f>
        <v>0</v>
      </c>
      <c r="BE245" s="275">
        <f ca="1">Ruimtestaat!E245*$BC245</f>
        <v>0</v>
      </c>
      <c r="BF245" s="275">
        <f ca="1">Ruimtestaat!F245*$BC245</f>
        <v>0</v>
      </c>
      <c r="BG245" s="275">
        <f ca="1">Ruimtestaat!G245*$BC245</f>
        <v>0</v>
      </c>
      <c r="BH245" s="275">
        <f ca="1">Ruimtestaat!H245*$BC245</f>
        <v>0</v>
      </c>
      <c r="BI245" s="276">
        <f ca="1">Ruimtestaat!I245*$BC245</f>
        <v>0</v>
      </c>
      <c r="BJ245" s="277">
        <f ca="1">Ruimtestaat!J245*$BC245</f>
        <v>0</v>
      </c>
      <c r="BK245" s="552"/>
      <c r="BR245" s="272" t="str">
        <f>IF(Ruimtestaat!BC245="","",Ruimtestaat!BC245)</f>
        <v/>
      </c>
      <c r="BS245" s="273">
        <f t="shared" si="7"/>
        <v>156</v>
      </c>
      <c r="BT245" s="274" t="str">
        <f ca="1">IF(BD245&gt;0,IF(ISNUMBER(Schoonmaaknormen!D245),Schoonmaaknormen!BD245/Schoonmaaknormen!D245,0),"")</f>
        <v/>
      </c>
      <c r="BU245" s="275" t="str">
        <f ca="1">IF(BE245&gt;0,IF(ISNUMBER(Schoonmaaknormen!E245),Schoonmaaknormen!BE245/Schoonmaaknormen!E245,0),"")</f>
        <v/>
      </c>
      <c r="BV245" s="275" t="str">
        <f ca="1">IF(BF245&gt;0,IF(ISNUMBER(Schoonmaaknormen!F245),Schoonmaaknormen!BF245/Schoonmaaknormen!F245,0),"")</f>
        <v/>
      </c>
      <c r="BW245" s="275" t="str">
        <f ca="1">IF(BG245&gt;0,IF(ISNUMBER(Schoonmaaknormen!G245),Schoonmaaknormen!BG245/Schoonmaaknormen!G245,0),"")</f>
        <v/>
      </c>
      <c r="BX245" s="275" t="str">
        <f ca="1">IF(BH245&gt;0,IF(ISNUMBER(Schoonmaaknormen!H245),Schoonmaaknormen!BH245/Schoonmaaknormen!H245,0),"")</f>
        <v/>
      </c>
      <c r="BY245" s="276" t="str">
        <f ca="1">IF(BI245&gt;0,IF(ISNUMBER(Schoonmaaknormen!I245),Schoonmaaknormen!BI245/Schoonmaaknormen!I245,0),"")</f>
        <v/>
      </c>
      <c r="BZ245" s="276" t="str">
        <f ca="1">IF(BJ245&gt;0,IF(ISNUMBER(Schoonmaaknormen!J245),Schoonmaaknormen!BJ245/Schoonmaaknormen!J245,0),"")</f>
        <v/>
      </c>
      <c r="CA245" s="548"/>
      <c r="CB245" s="552"/>
    </row>
    <row r="246" spans="1:80" ht="0.2" customHeight="1" x14ac:dyDescent="0.2">
      <c r="A246" s="172">
        <f ca="1">Ruimtestaat!A246</f>
        <v>2</v>
      </c>
      <c r="B246" s="557"/>
      <c r="C246" s="11">
        <v>104</v>
      </c>
      <c r="D246" s="309"/>
      <c r="E246" s="310"/>
      <c r="F246" s="311"/>
      <c r="G246" s="310"/>
      <c r="H246" s="310"/>
      <c r="I246" s="312"/>
      <c r="J246" s="312"/>
      <c r="K246" s="561"/>
      <c r="L246" s="553"/>
      <c r="M246" s="172" t="b">
        <f>IF(_xlfn.XLOOKUP(BB246,Tabel2[Locatiecode],Tabel2[Type locatie],"",0)="vaccin",TRUE,FALSE)</f>
        <v>0</v>
      </c>
      <c r="BB246" s="278" t="str">
        <f>IF(Ruimtestaat!BC246="","",Ruimtestaat!BC246)</f>
        <v/>
      </c>
      <c r="BC246" s="279">
        <f t="shared" si="6"/>
        <v>104</v>
      </c>
      <c r="BD246" s="280">
        <f ca="1">Ruimtestaat!D246*$BC246</f>
        <v>0</v>
      </c>
      <c r="BE246" s="281">
        <f ca="1">Ruimtestaat!E246*$BC246</f>
        <v>0</v>
      </c>
      <c r="BF246" s="281">
        <f ca="1">Ruimtestaat!F246*$BC246</f>
        <v>0</v>
      </c>
      <c r="BG246" s="281">
        <f ca="1">Ruimtestaat!G246*$BC246</f>
        <v>0</v>
      </c>
      <c r="BH246" s="281">
        <f ca="1">Ruimtestaat!H246*$BC246</f>
        <v>0</v>
      </c>
      <c r="BI246" s="282">
        <f ca="1">Ruimtestaat!I246*$BC246</f>
        <v>0</v>
      </c>
      <c r="BJ246" s="283">
        <f ca="1">Ruimtestaat!J246*$BC246</f>
        <v>0</v>
      </c>
      <c r="BK246" s="553"/>
      <c r="BR246" s="278" t="str">
        <f>IF(Ruimtestaat!BC246="","",Ruimtestaat!BC246)</f>
        <v/>
      </c>
      <c r="BS246" s="313">
        <f t="shared" si="7"/>
        <v>104</v>
      </c>
      <c r="BT246" s="280" t="str">
        <f ca="1">IF(BD246&gt;0,IF(ISNUMBER(Schoonmaaknormen!D246),Schoonmaaknormen!BD246/Schoonmaaknormen!D246,0),"")</f>
        <v/>
      </c>
      <c r="BU246" s="314" t="str">
        <f ca="1">IF(BE246&gt;0,IF(ISNUMBER(Schoonmaaknormen!E246),Schoonmaaknormen!BE246/Schoonmaaknormen!E246,0),"")</f>
        <v/>
      </c>
      <c r="BV246" s="314" t="str">
        <f ca="1">IF(BF246&gt;0,IF(ISNUMBER(Schoonmaaknormen!F246),Schoonmaaknormen!BF246/Schoonmaaknormen!F246,0),"")</f>
        <v/>
      </c>
      <c r="BW246" s="314" t="str">
        <f ca="1">IF(BG246&gt;0,IF(ISNUMBER(Schoonmaaknormen!G246),Schoonmaaknormen!BG246/Schoonmaaknormen!G246,0),"")</f>
        <v/>
      </c>
      <c r="BX246" s="314" t="str">
        <f ca="1">IF(BH246&gt;0,IF(ISNUMBER(Schoonmaaknormen!H246),Schoonmaaknormen!BH246/Schoonmaaknormen!H246,0),"")</f>
        <v/>
      </c>
      <c r="BY246" s="282" t="str">
        <f ca="1">IF(BI246&gt;0,IF(ISNUMBER(Schoonmaaknormen!I246),Schoonmaaknormen!BI246/Schoonmaaknormen!I246,0),"")</f>
        <v/>
      </c>
      <c r="BZ246" s="282" t="str">
        <f ca="1">IF(BJ246&gt;0,IF(ISNUMBER(Schoonmaaknormen!J246),Schoonmaaknormen!BJ246/Schoonmaaknormen!J246,0),"")</f>
        <v/>
      </c>
      <c r="CA246" s="549"/>
      <c r="CB246" s="553"/>
    </row>
    <row r="247" spans="1:80" ht="0.2" customHeight="1" x14ac:dyDescent="0.2">
      <c r="A247" s="172">
        <f ca="1">Ruimtestaat!A247</f>
        <v>2</v>
      </c>
      <c r="B247" s="557"/>
      <c r="C247" s="11">
        <v>52</v>
      </c>
      <c r="D247" s="309"/>
      <c r="E247" s="310"/>
      <c r="F247" s="311"/>
      <c r="G247" s="310"/>
      <c r="H247" s="310"/>
      <c r="I247" s="312"/>
      <c r="J247" s="312"/>
      <c r="K247" s="561"/>
      <c r="L247" s="553"/>
      <c r="M247" s="172" t="b">
        <f>IF(_xlfn.XLOOKUP(BB247,Tabel2[Locatiecode],Tabel2[Type locatie],"",0)="vaccin",TRUE,FALSE)</f>
        <v>0</v>
      </c>
      <c r="BB247" s="284" t="str">
        <f>IF(Ruimtestaat!BC247="","",Ruimtestaat!BC247)</f>
        <v/>
      </c>
      <c r="BC247" s="285">
        <f t="shared" si="6"/>
        <v>52</v>
      </c>
      <c r="BD247" s="286">
        <f ca="1">Ruimtestaat!D247*$BC247</f>
        <v>0</v>
      </c>
      <c r="BE247" s="287">
        <f ca="1">Ruimtestaat!E247*$BC247</f>
        <v>0</v>
      </c>
      <c r="BF247" s="287">
        <f ca="1">Ruimtestaat!F247*$BC247</f>
        <v>0</v>
      </c>
      <c r="BG247" s="287">
        <f ca="1">Ruimtestaat!G247*$BC247</f>
        <v>0</v>
      </c>
      <c r="BH247" s="287">
        <f ca="1">Ruimtestaat!H247*$BC247</f>
        <v>0</v>
      </c>
      <c r="BI247" s="288">
        <f ca="1">Ruimtestaat!I247*$BC247</f>
        <v>0</v>
      </c>
      <c r="BJ247" s="289">
        <f ca="1">Ruimtestaat!J247*$BC247</f>
        <v>0</v>
      </c>
      <c r="BK247" s="553"/>
      <c r="BR247" s="284" t="str">
        <f>IF(Ruimtestaat!BC247="","",Ruimtestaat!BC247)</f>
        <v/>
      </c>
      <c r="BS247" s="285">
        <f t="shared" si="7"/>
        <v>52</v>
      </c>
      <c r="BT247" s="286" t="str">
        <f ca="1">IF(BD247&gt;0,IF(ISNUMBER(Schoonmaaknormen!D247),Schoonmaaknormen!BD247/Schoonmaaknormen!D247,0),"")</f>
        <v/>
      </c>
      <c r="BU247" s="287" t="str">
        <f ca="1">IF(BE247&gt;0,IF(ISNUMBER(Schoonmaaknormen!E247),Schoonmaaknormen!BE247/Schoonmaaknormen!E247,0),"")</f>
        <v/>
      </c>
      <c r="BV247" s="287" t="str">
        <f ca="1">IF(BF247&gt;0,IF(ISNUMBER(Schoonmaaknormen!F247),Schoonmaaknormen!BF247/Schoonmaaknormen!F247,0),"")</f>
        <v/>
      </c>
      <c r="BW247" s="287" t="str">
        <f ca="1">IF(BG247&gt;0,IF(ISNUMBER(Schoonmaaknormen!G247),Schoonmaaknormen!BG247/Schoonmaaknormen!G247,0),"")</f>
        <v/>
      </c>
      <c r="BX247" s="287" t="str">
        <f ca="1">IF(BH247&gt;0,IF(ISNUMBER(Schoonmaaknormen!H247),Schoonmaaknormen!BH247/Schoonmaaknormen!H247,0),"")</f>
        <v/>
      </c>
      <c r="BY247" s="288" t="str">
        <f ca="1">IF(BI247&gt;0,IF(ISNUMBER(Schoonmaaknormen!I247),Schoonmaaknormen!BI247/Schoonmaaknormen!I247,0),"")</f>
        <v/>
      </c>
      <c r="BZ247" s="288" t="str">
        <f ca="1">IF(BJ247&gt;0,IF(ISNUMBER(Schoonmaaknormen!J247),Schoonmaaknormen!BJ247/Schoonmaaknormen!J247,0),"")</f>
        <v/>
      </c>
      <c r="CA247" s="549"/>
      <c r="CB247" s="553"/>
    </row>
    <row r="248" spans="1:80" ht="0.2" customHeight="1" x14ac:dyDescent="0.2">
      <c r="A248" s="172">
        <f ca="1">Ruimtestaat!A248</f>
        <v>2</v>
      </c>
      <c r="B248" s="558"/>
      <c r="C248" s="290">
        <v>4</v>
      </c>
      <c r="D248" s="186"/>
      <c r="E248" s="187"/>
      <c r="F248" s="188"/>
      <c r="G248" s="187"/>
      <c r="H248" s="187"/>
      <c r="I248" s="189"/>
      <c r="J248" s="189"/>
      <c r="K248" s="562"/>
      <c r="L248" s="554"/>
      <c r="M248" s="172" t="b">
        <f>IF(_xlfn.XLOOKUP(BB248,Tabel2[Locatiecode],Tabel2[Type locatie],"",0)="vaccin",TRUE,FALSE)</f>
        <v>0</v>
      </c>
      <c r="BB248" s="291" t="str">
        <f>IF(Ruimtestaat!BC248="","",Ruimtestaat!BC248)</f>
        <v/>
      </c>
      <c r="BC248" s="292">
        <f t="shared" si="6"/>
        <v>4</v>
      </c>
      <c r="BD248" s="293">
        <f ca="1">Ruimtestaat!D248*$BC248</f>
        <v>0</v>
      </c>
      <c r="BE248" s="294">
        <f ca="1">Ruimtestaat!E248*$BC248</f>
        <v>0</v>
      </c>
      <c r="BF248" s="294">
        <f ca="1">Ruimtestaat!F248*$BC248</f>
        <v>0</v>
      </c>
      <c r="BG248" s="294">
        <f ca="1">Ruimtestaat!G248*$BC248</f>
        <v>0</v>
      </c>
      <c r="BH248" s="294">
        <f ca="1">Ruimtestaat!H248*$BC248</f>
        <v>0</v>
      </c>
      <c r="BI248" s="295">
        <f ca="1">Ruimtestaat!I248*$BC248</f>
        <v>0</v>
      </c>
      <c r="BJ248" s="296">
        <f ca="1">Ruimtestaat!J248*$BC248</f>
        <v>0</v>
      </c>
      <c r="BK248" s="554"/>
      <c r="BR248" s="291" t="str">
        <f>IF(Ruimtestaat!BC248="","",Ruimtestaat!BC248)</f>
        <v/>
      </c>
      <c r="BS248" s="292">
        <f t="shared" si="7"/>
        <v>4</v>
      </c>
      <c r="BT248" s="293" t="str">
        <f ca="1">IF(BD248&gt;0,IF(ISNUMBER(Schoonmaaknormen!D248),Schoonmaaknormen!BD248/Schoonmaaknormen!D248,0),"")</f>
        <v/>
      </c>
      <c r="BU248" s="294" t="str">
        <f ca="1">IF(BE248&gt;0,IF(ISNUMBER(Schoonmaaknormen!E248),Schoonmaaknormen!BE248/Schoonmaaknormen!E248,0),"")</f>
        <v/>
      </c>
      <c r="BV248" s="294" t="str">
        <f ca="1">IF(BF248&gt;0,IF(ISNUMBER(Schoonmaaknormen!F248),Schoonmaaknormen!BF248/Schoonmaaknormen!F248,0),"")</f>
        <v/>
      </c>
      <c r="BW248" s="294" t="str">
        <f ca="1">IF(BG248&gt;0,IF(ISNUMBER(Schoonmaaknormen!G248),Schoonmaaknormen!BG248/Schoonmaaknormen!G248,0),"")</f>
        <v/>
      </c>
      <c r="BX248" s="294" t="str">
        <f ca="1">IF(BH248&gt;0,IF(ISNUMBER(Schoonmaaknormen!H248),Schoonmaaknormen!BH248/Schoonmaaknormen!H248,0),"")</f>
        <v/>
      </c>
      <c r="BY248" s="295" t="str">
        <f ca="1">IF(BI248&gt;0,IF(ISNUMBER(Schoonmaaknormen!I248),Schoonmaaknormen!BI248/Schoonmaaknormen!I248,0),"")</f>
        <v/>
      </c>
      <c r="BZ248" s="295" t="str">
        <f ca="1">IF(BJ248&gt;0,IF(ISNUMBER(Schoonmaaknormen!J248),Schoonmaaknormen!BJ248/Schoonmaaknormen!J248,0),"")</f>
        <v/>
      </c>
      <c r="CA248" s="555"/>
      <c r="CB248" s="554"/>
    </row>
    <row r="249" spans="1:80" ht="0.2" customHeight="1" x14ac:dyDescent="0.2">
      <c r="A249" s="172">
        <f ca="1">Ruimtestaat!A249</f>
        <v>2</v>
      </c>
      <c r="B249" s="556" t="str">
        <f>BB249</f>
        <v/>
      </c>
      <c r="C249" s="298">
        <v>255</v>
      </c>
      <c r="D249" s="299"/>
      <c r="E249" s="300"/>
      <c r="F249" s="301"/>
      <c r="G249" s="300"/>
      <c r="H249" s="300"/>
      <c r="I249" s="302"/>
      <c r="J249" s="302"/>
      <c r="K249" s="559"/>
      <c r="L249" s="551" t="str" cm="1">
        <f t="array" aca="1" ref="L249" ca="1">_xlfn.IFS(A249=2,"",COUNTBLANK(D249:J254)=COUNTIF(Ruimtestaat!D249:J254,"&lt;=0"),BK249/CB249,TRUE,"")</f>
        <v/>
      </c>
      <c r="M249" s="172" t="b">
        <f>IF(_xlfn.XLOOKUP(BB249,Tabel2[Locatiecode],Tabel2[Type locatie],"",0)="vaccin",TRUE,FALSE)</f>
        <v>0</v>
      </c>
      <c r="BB249" s="303" t="str">
        <f>IF(Ruimtestaat!BC249="","",Ruimtestaat!BC249)</f>
        <v/>
      </c>
      <c r="BC249" s="304">
        <f t="shared" si="6"/>
        <v>255</v>
      </c>
      <c r="BD249" s="305">
        <f ca="1">Ruimtestaat!D249*$BC249</f>
        <v>0</v>
      </c>
      <c r="BE249" s="306">
        <f ca="1">Ruimtestaat!E249*$BC249</f>
        <v>0</v>
      </c>
      <c r="BF249" s="306">
        <f ca="1">Ruimtestaat!F249*$BC249</f>
        <v>0</v>
      </c>
      <c r="BG249" s="306">
        <f ca="1">Ruimtestaat!G249*$BC249</f>
        <v>0</v>
      </c>
      <c r="BH249" s="306">
        <f ca="1">Ruimtestaat!H249*$BC249</f>
        <v>0</v>
      </c>
      <c r="BI249" s="307">
        <f ca="1">Ruimtestaat!I249*$BC249</f>
        <v>0</v>
      </c>
      <c r="BJ249" s="308">
        <f ca="1">Ruimtestaat!J249*$BC249</f>
        <v>0</v>
      </c>
      <c r="BK249" s="552">
        <f ca="1">SUM(BD249:BJ254)</f>
        <v>0</v>
      </c>
      <c r="BR249" s="303" t="str">
        <f>IF(Ruimtestaat!BC249="","",Ruimtestaat!BC249)</f>
        <v/>
      </c>
      <c r="BS249" s="304">
        <f t="shared" si="7"/>
        <v>255</v>
      </c>
      <c r="BT249" s="305" t="str">
        <f ca="1">IF(BD249&gt;0,IF(ISNUMBER(Schoonmaaknormen!D249),Schoonmaaknormen!BD249/Schoonmaaknormen!D249,0),"")</f>
        <v/>
      </c>
      <c r="BU249" s="306" t="str">
        <f ca="1">IF(BE249&gt;0,IF(ISNUMBER(Schoonmaaknormen!E249),Schoonmaaknormen!BE249/Schoonmaaknormen!E249,0),"")</f>
        <v/>
      </c>
      <c r="BV249" s="306" t="str">
        <f ca="1">IF(BF249&gt;0,IF(ISNUMBER(Schoonmaaknormen!F249),Schoonmaaknormen!BF249/Schoonmaaknormen!F249,0),"")</f>
        <v/>
      </c>
      <c r="BW249" s="306" t="str">
        <f ca="1">IF(BG249&gt;0,IF(ISNUMBER(Schoonmaaknormen!G249),Schoonmaaknormen!BG249/Schoonmaaknormen!G249,0),"")</f>
        <v/>
      </c>
      <c r="BX249" s="306" t="str">
        <f ca="1">IF(BH249&gt;0,IF(ISNUMBER(Schoonmaaknormen!H249),Schoonmaaknormen!BH249/Schoonmaaknormen!H249,0),"")</f>
        <v/>
      </c>
      <c r="BY249" s="315" t="str">
        <f ca="1">IF(BI249&gt;0,IF(ISNUMBER(Schoonmaaknormen!I249),Schoonmaaknormen!BI249/Schoonmaaknormen!I249,0),"")</f>
        <v/>
      </c>
      <c r="BZ249" s="315" t="str">
        <f ca="1">IF(BJ249&gt;0,IF(ISNUMBER(Schoonmaaknormen!J249),Schoonmaaknormen!BJ249/Schoonmaaknormen!J249,0),"")</f>
        <v/>
      </c>
      <c r="CA249" s="547" t="str" cm="1">
        <f t="array" ref="CA249">IF(ISNUMBER(K249),IF(SUM(BT249:BZ254)/LARGE(_xlfn._xlws.FILTER(Ruimtestaat!BD:BD,Ruimtestaat!BC:BC=BR249),1)&lt;K249,K249*LARGE(_xlfn._xlws.FILTER(Ruimtestaat!BD:BD,Ruimtestaat!BC:BC=BR249),1)-SUM(BT249:BZ254),0),"")</f>
        <v/>
      </c>
      <c r="CB249" s="551">
        <f ca="1">SUM(BT249:CA254)</f>
        <v>0</v>
      </c>
    </row>
    <row r="250" spans="1:80" ht="0.2" customHeight="1" x14ac:dyDescent="0.2">
      <c r="A250" s="172">
        <f ca="1">Ruimtestaat!A250</f>
        <v>2</v>
      </c>
      <c r="B250" s="557"/>
      <c r="C250" s="11">
        <v>204</v>
      </c>
      <c r="D250" s="309"/>
      <c r="E250" s="310"/>
      <c r="F250" s="311"/>
      <c r="G250" s="310"/>
      <c r="H250" s="310"/>
      <c r="I250" s="312"/>
      <c r="J250" s="312"/>
      <c r="K250" s="560"/>
      <c r="L250" s="552"/>
      <c r="M250" s="172" t="b">
        <f>IF(_xlfn.XLOOKUP(BB250,Tabel2[Locatiecode],Tabel2[Type locatie],"",0)="vaccin",TRUE,FALSE)</f>
        <v>0</v>
      </c>
      <c r="BB250" s="272" t="str">
        <f>IF(Ruimtestaat!BC250="","",Ruimtestaat!BC250)</f>
        <v/>
      </c>
      <c r="BC250" s="273">
        <f t="shared" si="6"/>
        <v>204</v>
      </c>
      <c r="BD250" s="274">
        <f ca="1">Ruimtestaat!D250*$BC250</f>
        <v>0</v>
      </c>
      <c r="BE250" s="275">
        <f ca="1">Ruimtestaat!E250*$BC250</f>
        <v>0</v>
      </c>
      <c r="BF250" s="275">
        <f ca="1">Ruimtestaat!F250*$BC250</f>
        <v>0</v>
      </c>
      <c r="BG250" s="275">
        <f ca="1">Ruimtestaat!G250*$BC250</f>
        <v>0</v>
      </c>
      <c r="BH250" s="275">
        <f ca="1">Ruimtestaat!H250*$BC250</f>
        <v>0</v>
      </c>
      <c r="BI250" s="276">
        <f ca="1">Ruimtestaat!I250*$BC250</f>
        <v>0</v>
      </c>
      <c r="BJ250" s="277">
        <f ca="1">Ruimtestaat!J250*$BC250</f>
        <v>0</v>
      </c>
      <c r="BK250" s="552"/>
      <c r="BR250" s="272" t="str">
        <f>IF(Ruimtestaat!BC250="","",Ruimtestaat!BC250)</f>
        <v/>
      </c>
      <c r="BS250" s="273">
        <f t="shared" si="7"/>
        <v>204</v>
      </c>
      <c r="BT250" s="274" t="str">
        <f ca="1">IF(BD250&gt;0,IF(ISNUMBER(Schoonmaaknormen!D250),Schoonmaaknormen!BD250/Schoonmaaknormen!D250,0),"")</f>
        <v/>
      </c>
      <c r="BU250" s="275" t="str">
        <f ca="1">IF(BE250&gt;0,IF(ISNUMBER(Schoonmaaknormen!E250),Schoonmaaknormen!BE250/Schoonmaaknormen!E250,0),"")</f>
        <v/>
      </c>
      <c r="BV250" s="275" t="str">
        <f ca="1">IF(BF250&gt;0,IF(ISNUMBER(Schoonmaaknormen!F250),Schoonmaaknormen!BF250/Schoonmaaknormen!F250,0),"")</f>
        <v/>
      </c>
      <c r="BW250" s="275" t="str">
        <f ca="1">IF(BG250&gt;0,IF(ISNUMBER(Schoonmaaknormen!G250),Schoonmaaknormen!BG250/Schoonmaaknormen!G250,0),"")</f>
        <v/>
      </c>
      <c r="BX250" s="275" t="str">
        <f ca="1">IF(BH250&gt;0,IF(ISNUMBER(Schoonmaaknormen!H250),Schoonmaaknormen!BH250/Schoonmaaknormen!H250,0),"")</f>
        <v/>
      </c>
      <c r="BY250" s="276" t="str">
        <f ca="1">IF(BI250&gt;0,IF(ISNUMBER(Schoonmaaknormen!I250),Schoonmaaknormen!BI250/Schoonmaaknormen!I250,0),"")</f>
        <v/>
      </c>
      <c r="BZ250" s="276" t="str">
        <f ca="1">IF(BJ250&gt;0,IF(ISNUMBER(Schoonmaaknormen!J250),Schoonmaaknormen!BJ250/Schoonmaaknormen!J250,0),"")</f>
        <v/>
      </c>
      <c r="CA250" s="548"/>
      <c r="CB250" s="552"/>
    </row>
    <row r="251" spans="1:80" ht="0.2" customHeight="1" x14ac:dyDescent="0.2">
      <c r="A251" s="172">
        <f ca="1">Ruimtestaat!A251</f>
        <v>2</v>
      </c>
      <c r="B251" s="557"/>
      <c r="C251" s="11">
        <v>156</v>
      </c>
      <c r="D251" s="309"/>
      <c r="E251" s="310"/>
      <c r="F251" s="311"/>
      <c r="G251" s="310"/>
      <c r="H251" s="310"/>
      <c r="I251" s="312"/>
      <c r="J251" s="312"/>
      <c r="K251" s="560"/>
      <c r="L251" s="552"/>
      <c r="M251" s="172" t="b">
        <f>IF(_xlfn.XLOOKUP(BB251,Tabel2[Locatiecode],Tabel2[Type locatie],"",0)="vaccin",TRUE,FALSE)</f>
        <v>0</v>
      </c>
      <c r="BB251" s="272" t="str">
        <f>IF(Ruimtestaat!BC251="","",Ruimtestaat!BC251)</f>
        <v/>
      </c>
      <c r="BC251" s="273">
        <f t="shared" si="6"/>
        <v>156</v>
      </c>
      <c r="BD251" s="274">
        <f ca="1">Ruimtestaat!D251*$BC251</f>
        <v>0</v>
      </c>
      <c r="BE251" s="275">
        <f ca="1">Ruimtestaat!E251*$BC251</f>
        <v>0</v>
      </c>
      <c r="BF251" s="275">
        <f ca="1">Ruimtestaat!F251*$BC251</f>
        <v>0</v>
      </c>
      <c r="BG251" s="275">
        <f ca="1">Ruimtestaat!G251*$BC251</f>
        <v>0</v>
      </c>
      <c r="BH251" s="275">
        <f ca="1">Ruimtestaat!H251*$BC251</f>
        <v>0</v>
      </c>
      <c r="BI251" s="276">
        <f ca="1">Ruimtestaat!I251*$BC251</f>
        <v>0</v>
      </c>
      <c r="BJ251" s="277">
        <f ca="1">Ruimtestaat!J251*$BC251</f>
        <v>0</v>
      </c>
      <c r="BK251" s="552"/>
      <c r="BR251" s="272" t="str">
        <f>IF(Ruimtestaat!BC251="","",Ruimtestaat!BC251)</f>
        <v/>
      </c>
      <c r="BS251" s="273">
        <f t="shared" si="7"/>
        <v>156</v>
      </c>
      <c r="BT251" s="274" t="str">
        <f ca="1">IF(BD251&gt;0,IF(ISNUMBER(Schoonmaaknormen!D251),Schoonmaaknormen!BD251/Schoonmaaknormen!D251,0),"")</f>
        <v/>
      </c>
      <c r="BU251" s="275" t="str">
        <f ca="1">IF(BE251&gt;0,IF(ISNUMBER(Schoonmaaknormen!E251),Schoonmaaknormen!BE251/Schoonmaaknormen!E251,0),"")</f>
        <v/>
      </c>
      <c r="BV251" s="275" t="str">
        <f ca="1">IF(BF251&gt;0,IF(ISNUMBER(Schoonmaaknormen!F251),Schoonmaaknormen!BF251/Schoonmaaknormen!F251,0),"")</f>
        <v/>
      </c>
      <c r="BW251" s="275" t="str">
        <f ca="1">IF(BG251&gt;0,IF(ISNUMBER(Schoonmaaknormen!G251),Schoonmaaknormen!BG251/Schoonmaaknormen!G251,0),"")</f>
        <v/>
      </c>
      <c r="BX251" s="275" t="str">
        <f ca="1">IF(BH251&gt;0,IF(ISNUMBER(Schoonmaaknormen!H251),Schoonmaaknormen!BH251/Schoonmaaknormen!H251,0),"")</f>
        <v/>
      </c>
      <c r="BY251" s="276" t="str">
        <f ca="1">IF(BI251&gt;0,IF(ISNUMBER(Schoonmaaknormen!I251),Schoonmaaknormen!BI251/Schoonmaaknormen!I251,0),"")</f>
        <v/>
      </c>
      <c r="BZ251" s="276" t="str">
        <f ca="1">IF(BJ251&gt;0,IF(ISNUMBER(Schoonmaaknormen!J251),Schoonmaaknormen!BJ251/Schoonmaaknormen!J251,0),"")</f>
        <v/>
      </c>
      <c r="CA251" s="548"/>
      <c r="CB251" s="552"/>
    </row>
    <row r="252" spans="1:80" ht="0.2" customHeight="1" x14ac:dyDescent="0.2">
      <c r="A252" s="172">
        <f ca="1">Ruimtestaat!A252</f>
        <v>2</v>
      </c>
      <c r="B252" s="557"/>
      <c r="C252" s="11">
        <v>104</v>
      </c>
      <c r="D252" s="309"/>
      <c r="E252" s="310"/>
      <c r="F252" s="311"/>
      <c r="G252" s="310"/>
      <c r="H252" s="310"/>
      <c r="I252" s="312"/>
      <c r="J252" s="312"/>
      <c r="K252" s="561"/>
      <c r="L252" s="553"/>
      <c r="M252" s="172" t="b">
        <f>IF(_xlfn.XLOOKUP(BB252,Tabel2[Locatiecode],Tabel2[Type locatie],"",0)="vaccin",TRUE,FALSE)</f>
        <v>0</v>
      </c>
      <c r="BB252" s="278" t="str">
        <f>IF(Ruimtestaat!BC252="","",Ruimtestaat!BC252)</f>
        <v/>
      </c>
      <c r="BC252" s="279">
        <f t="shared" si="6"/>
        <v>104</v>
      </c>
      <c r="BD252" s="280">
        <f ca="1">Ruimtestaat!D252*$BC252</f>
        <v>0</v>
      </c>
      <c r="BE252" s="281">
        <f ca="1">Ruimtestaat!E252*$BC252</f>
        <v>0</v>
      </c>
      <c r="BF252" s="281">
        <f ca="1">Ruimtestaat!F252*$BC252</f>
        <v>0</v>
      </c>
      <c r="BG252" s="281">
        <f ca="1">Ruimtestaat!G252*$BC252</f>
        <v>0</v>
      </c>
      <c r="BH252" s="281">
        <f ca="1">Ruimtestaat!H252*$BC252</f>
        <v>0</v>
      </c>
      <c r="BI252" s="282">
        <f ca="1">Ruimtestaat!I252*$BC252</f>
        <v>0</v>
      </c>
      <c r="BJ252" s="283">
        <f ca="1">Ruimtestaat!J252*$BC252</f>
        <v>0</v>
      </c>
      <c r="BK252" s="553"/>
      <c r="BR252" s="278" t="str">
        <f>IF(Ruimtestaat!BC252="","",Ruimtestaat!BC252)</f>
        <v/>
      </c>
      <c r="BS252" s="313">
        <f t="shared" si="7"/>
        <v>104</v>
      </c>
      <c r="BT252" s="280" t="str">
        <f ca="1">IF(BD252&gt;0,IF(ISNUMBER(Schoonmaaknormen!D252),Schoonmaaknormen!BD252/Schoonmaaknormen!D252,0),"")</f>
        <v/>
      </c>
      <c r="BU252" s="314" t="str">
        <f ca="1">IF(BE252&gt;0,IF(ISNUMBER(Schoonmaaknormen!E252),Schoonmaaknormen!BE252/Schoonmaaknormen!E252,0),"")</f>
        <v/>
      </c>
      <c r="BV252" s="314" t="str">
        <f ca="1">IF(BF252&gt;0,IF(ISNUMBER(Schoonmaaknormen!F252),Schoonmaaknormen!BF252/Schoonmaaknormen!F252,0),"")</f>
        <v/>
      </c>
      <c r="BW252" s="314" t="str">
        <f ca="1">IF(BG252&gt;0,IF(ISNUMBER(Schoonmaaknormen!G252),Schoonmaaknormen!BG252/Schoonmaaknormen!G252,0),"")</f>
        <v/>
      </c>
      <c r="BX252" s="314" t="str">
        <f ca="1">IF(BH252&gt;0,IF(ISNUMBER(Schoonmaaknormen!H252),Schoonmaaknormen!BH252/Schoonmaaknormen!H252,0),"")</f>
        <v/>
      </c>
      <c r="BY252" s="282" t="str">
        <f ca="1">IF(BI252&gt;0,IF(ISNUMBER(Schoonmaaknormen!I252),Schoonmaaknormen!BI252/Schoonmaaknormen!I252,0),"")</f>
        <v/>
      </c>
      <c r="BZ252" s="282" t="str">
        <f ca="1">IF(BJ252&gt;0,IF(ISNUMBER(Schoonmaaknormen!J252),Schoonmaaknormen!BJ252/Schoonmaaknormen!J252,0),"")</f>
        <v/>
      </c>
      <c r="CA252" s="549"/>
      <c r="CB252" s="553"/>
    </row>
    <row r="253" spans="1:80" ht="0.2" customHeight="1" x14ac:dyDescent="0.2">
      <c r="A253" s="172">
        <f ca="1">Ruimtestaat!A253</f>
        <v>2</v>
      </c>
      <c r="B253" s="557"/>
      <c r="C253" s="11">
        <v>52</v>
      </c>
      <c r="D253" s="309"/>
      <c r="E253" s="310"/>
      <c r="F253" s="311"/>
      <c r="G253" s="310"/>
      <c r="H253" s="310"/>
      <c r="I253" s="312"/>
      <c r="J253" s="312"/>
      <c r="K253" s="561"/>
      <c r="L253" s="553"/>
      <c r="M253" s="172" t="b">
        <f>IF(_xlfn.XLOOKUP(BB253,Tabel2[Locatiecode],Tabel2[Type locatie],"",0)="vaccin",TRUE,FALSE)</f>
        <v>0</v>
      </c>
      <c r="BB253" s="284" t="str">
        <f>IF(Ruimtestaat!BC253="","",Ruimtestaat!BC253)</f>
        <v/>
      </c>
      <c r="BC253" s="285">
        <f t="shared" si="6"/>
        <v>52</v>
      </c>
      <c r="BD253" s="286">
        <f ca="1">Ruimtestaat!D253*$BC253</f>
        <v>0</v>
      </c>
      <c r="BE253" s="287">
        <f ca="1">Ruimtestaat!E253*$BC253</f>
        <v>0</v>
      </c>
      <c r="BF253" s="287">
        <f ca="1">Ruimtestaat!F253*$BC253</f>
        <v>0</v>
      </c>
      <c r="BG253" s="287">
        <f ca="1">Ruimtestaat!G253*$BC253</f>
        <v>0</v>
      </c>
      <c r="BH253" s="287">
        <f ca="1">Ruimtestaat!H253*$BC253</f>
        <v>0</v>
      </c>
      <c r="BI253" s="288">
        <f ca="1">Ruimtestaat!I253*$BC253</f>
        <v>0</v>
      </c>
      <c r="BJ253" s="289">
        <f ca="1">Ruimtestaat!J253*$BC253</f>
        <v>0</v>
      </c>
      <c r="BK253" s="553"/>
      <c r="BR253" s="284" t="str">
        <f>IF(Ruimtestaat!BC253="","",Ruimtestaat!BC253)</f>
        <v/>
      </c>
      <c r="BS253" s="285">
        <f t="shared" si="7"/>
        <v>52</v>
      </c>
      <c r="BT253" s="286" t="str">
        <f ca="1">IF(BD253&gt;0,IF(ISNUMBER(Schoonmaaknormen!D253),Schoonmaaknormen!BD253/Schoonmaaknormen!D253,0),"")</f>
        <v/>
      </c>
      <c r="BU253" s="287" t="str">
        <f ca="1">IF(BE253&gt;0,IF(ISNUMBER(Schoonmaaknormen!E253),Schoonmaaknormen!BE253/Schoonmaaknormen!E253,0),"")</f>
        <v/>
      </c>
      <c r="BV253" s="287" t="str">
        <f ca="1">IF(BF253&gt;0,IF(ISNUMBER(Schoonmaaknormen!F253),Schoonmaaknormen!BF253/Schoonmaaknormen!F253,0),"")</f>
        <v/>
      </c>
      <c r="BW253" s="287" t="str">
        <f ca="1">IF(BG253&gt;0,IF(ISNUMBER(Schoonmaaknormen!G253),Schoonmaaknormen!BG253/Schoonmaaknormen!G253,0),"")</f>
        <v/>
      </c>
      <c r="BX253" s="287" t="str">
        <f ca="1">IF(BH253&gt;0,IF(ISNUMBER(Schoonmaaknormen!H253),Schoonmaaknormen!BH253/Schoonmaaknormen!H253,0),"")</f>
        <v/>
      </c>
      <c r="BY253" s="288" t="str">
        <f ca="1">IF(BI253&gt;0,IF(ISNUMBER(Schoonmaaknormen!I253),Schoonmaaknormen!BI253/Schoonmaaknormen!I253,0),"")</f>
        <v/>
      </c>
      <c r="BZ253" s="288" t="str">
        <f ca="1">IF(BJ253&gt;0,IF(ISNUMBER(Schoonmaaknormen!J253),Schoonmaaknormen!BJ253/Schoonmaaknormen!J253,0),"")</f>
        <v/>
      </c>
      <c r="CA253" s="549"/>
      <c r="CB253" s="553"/>
    </row>
    <row r="254" spans="1:80" ht="0.2" customHeight="1" x14ac:dyDescent="0.2">
      <c r="A254" s="172">
        <f ca="1">Ruimtestaat!A254</f>
        <v>2</v>
      </c>
      <c r="B254" s="558"/>
      <c r="C254" s="290">
        <v>4</v>
      </c>
      <c r="D254" s="186"/>
      <c r="E254" s="187"/>
      <c r="F254" s="188"/>
      <c r="G254" s="187"/>
      <c r="H254" s="187"/>
      <c r="I254" s="189"/>
      <c r="J254" s="189"/>
      <c r="K254" s="562"/>
      <c r="L254" s="554"/>
      <c r="M254" s="172" t="b">
        <f>IF(_xlfn.XLOOKUP(BB254,Tabel2[Locatiecode],Tabel2[Type locatie],"",0)="vaccin",TRUE,FALSE)</f>
        <v>0</v>
      </c>
      <c r="BB254" s="291" t="str">
        <f>IF(Ruimtestaat!BC254="","",Ruimtestaat!BC254)</f>
        <v/>
      </c>
      <c r="BC254" s="292">
        <f t="shared" si="6"/>
        <v>4</v>
      </c>
      <c r="BD254" s="293">
        <f ca="1">Ruimtestaat!D254*$BC254</f>
        <v>0</v>
      </c>
      <c r="BE254" s="294">
        <f ca="1">Ruimtestaat!E254*$BC254</f>
        <v>0</v>
      </c>
      <c r="BF254" s="294">
        <f ca="1">Ruimtestaat!F254*$BC254</f>
        <v>0</v>
      </c>
      <c r="BG254" s="294">
        <f ca="1">Ruimtestaat!G254*$BC254</f>
        <v>0</v>
      </c>
      <c r="BH254" s="294">
        <f ca="1">Ruimtestaat!H254*$BC254</f>
        <v>0</v>
      </c>
      <c r="BI254" s="295">
        <f ca="1">Ruimtestaat!I254*$BC254</f>
        <v>0</v>
      </c>
      <c r="BJ254" s="296">
        <f ca="1">Ruimtestaat!J254*$BC254</f>
        <v>0</v>
      </c>
      <c r="BK254" s="554"/>
      <c r="BR254" s="291" t="str">
        <f>IF(Ruimtestaat!BC254="","",Ruimtestaat!BC254)</f>
        <v/>
      </c>
      <c r="BS254" s="292">
        <f t="shared" si="7"/>
        <v>4</v>
      </c>
      <c r="BT254" s="293" t="str">
        <f ca="1">IF(BD254&gt;0,IF(ISNUMBER(Schoonmaaknormen!D254),Schoonmaaknormen!BD254/Schoonmaaknormen!D254,0),"")</f>
        <v/>
      </c>
      <c r="BU254" s="294" t="str">
        <f ca="1">IF(BE254&gt;0,IF(ISNUMBER(Schoonmaaknormen!E254),Schoonmaaknormen!BE254/Schoonmaaknormen!E254,0),"")</f>
        <v/>
      </c>
      <c r="BV254" s="294" t="str">
        <f ca="1">IF(BF254&gt;0,IF(ISNUMBER(Schoonmaaknormen!F254),Schoonmaaknormen!BF254/Schoonmaaknormen!F254,0),"")</f>
        <v/>
      </c>
      <c r="BW254" s="294" t="str">
        <f ca="1">IF(BG254&gt;0,IF(ISNUMBER(Schoonmaaknormen!G254),Schoonmaaknormen!BG254/Schoonmaaknormen!G254,0),"")</f>
        <v/>
      </c>
      <c r="BX254" s="294" t="str">
        <f ca="1">IF(BH254&gt;0,IF(ISNUMBER(Schoonmaaknormen!H254),Schoonmaaknormen!BH254/Schoonmaaknormen!H254,0),"")</f>
        <v/>
      </c>
      <c r="BY254" s="295" t="str">
        <f ca="1">IF(BI254&gt;0,IF(ISNUMBER(Schoonmaaknormen!I254),Schoonmaaknormen!BI254/Schoonmaaknormen!I254,0),"")</f>
        <v/>
      </c>
      <c r="BZ254" s="295" t="str">
        <f ca="1">IF(BJ254&gt;0,IF(ISNUMBER(Schoonmaaknormen!J254),Schoonmaaknormen!BJ254/Schoonmaaknormen!J254,0),"")</f>
        <v/>
      </c>
      <c r="CA254" s="555"/>
      <c r="CB254" s="554"/>
    </row>
    <row r="255" spans="1:80" ht="0.2" customHeight="1" x14ac:dyDescent="0.2">
      <c r="A255" s="172">
        <f ca="1">Ruimtestaat!A255</f>
        <v>2</v>
      </c>
      <c r="B255" s="556" t="str">
        <f>BB255</f>
        <v/>
      </c>
      <c r="C255" s="298">
        <v>255</v>
      </c>
      <c r="D255" s="299"/>
      <c r="E255" s="300"/>
      <c r="F255" s="301"/>
      <c r="G255" s="300"/>
      <c r="H255" s="300"/>
      <c r="I255" s="302"/>
      <c r="J255" s="302"/>
      <c r="K255" s="559"/>
      <c r="L255" s="551" t="str" cm="1">
        <f t="array" aca="1" ref="L255" ca="1">_xlfn.IFS(A255=2,"",COUNTBLANK(D255:J260)=COUNTIF(Ruimtestaat!D255:J260,"&lt;=0"),BK255/CB255,TRUE,"")</f>
        <v/>
      </c>
      <c r="M255" s="172" t="b">
        <f>IF(_xlfn.XLOOKUP(BB255,Tabel2[Locatiecode],Tabel2[Type locatie],"",0)="vaccin",TRUE,FALSE)</f>
        <v>0</v>
      </c>
      <c r="BB255" s="303" t="str">
        <f>IF(Ruimtestaat!BC255="","",Ruimtestaat!BC255)</f>
        <v/>
      </c>
      <c r="BC255" s="304">
        <f t="shared" si="6"/>
        <v>255</v>
      </c>
      <c r="BD255" s="305">
        <f ca="1">Ruimtestaat!D255*$BC255</f>
        <v>0</v>
      </c>
      <c r="BE255" s="306">
        <f ca="1">Ruimtestaat!E255*$BC255</f>
        <v>0</v>
      </c>
      <c r="BF255" s="306">
        <f ca="1">Ruimtestaat!F255*$BC255</f>
        <v>0</v>
      </c>
      <c r="BG255" s="306">
        <f ca="1">Ruimtestaat!G255*$BC255</f>
        <v>0</v>
      </c>
      <c r="BH255" s="306">
        <f ca="1">Ruimtestaat!H255*$BC255</f>
        <v>0</v>
      </c>
      <c r="BI255" s="307">
        <f ca="1">Ruimtestaat!I255*$BC255</f>
        <v>0</v>
      </c>
      <c r="BJ255" s="308">
        <f ca="1">Ruimtestaat!J255*$BC255</f>
        <v>0</v>
      </c>
      <c r="BK255" s="552">
        <f ca="1">SUM(BD255:BJ260)</f>
        <v>0</v>
      </c>
      <c r="BR255" s="303" t="str">
        <f>IF(Ruimtestaat!BC255="","",Ruimtestaat!BC255)</f>
        <v/>
      </c>
      <c r="BS255" s="304">
        <f t="shared" si="7"/>
        <v>255</v>
      </c>
      <c r="BT255" s="305" t="str">
        <f ca="1">IF(BD255&gt;0,IF(ISNUMBER(Schoonmaaknormen!D255),Schoonmaaknormen!BD255/Schoonmaaknormen!D255,0),"")</f>
        <v/>
      </c>
      <c r="BU255" s="306" t="str">
        <f ca="1">IF(BE255&gt;0,IF(ISNUMBER(Schoonmaaknormen!E255),Schoonmaaknormen!BE255/Schoonmaaknormen!E255,0),"")</f>
        <v/>
      </c>
      <c r="BV255" s="306" t="str">
        <f ca="1">IF(BF255&gt;0,IF(ISNUMBER(Schoonmaaknormen!F255),Schoonmaaknormen!BF255/Schoonmaaknormen!F255,0),"")</f>
        <v/>
      </c>
      <c r="BW255" s="306" t="str">
        <f ca="1">IF(BG255&gt;0,IF(ISNUMBER(Schoonmaaknormen!G255),Schoonmaaknormen!BG255/Schoonmaaknormen!G255,0),"")</f>
        <v/>
      </c>
      <c r="BX255" s="306" t="str">
        <f ca="1">IF(BH255&gt;0,IF(ISNUMBER(Schoonmaaknormen!H255),Schoonmaaknormen!BH255/Schoonmaaknormen!H255,0),"")</f>
        <v/>
      </c>
      <c r="BY255" s="315" t="str">
        <f ca="1">IF(BI255&gt;0,IF(ISNUMBER(Schoonmaaknormen!I255),Schoonmaaknormen!BI255/Schoonmaaknormen!I255,0),"")</f>
        <v/>
      </c>
      <c r="BZ255" s="315" t="str">
        <f ca="1">IF(BJ255&gt;0,IF(ISNUMBER(Schoonmaaknormen!J255),Schoonmaaknormen!BJ255/Schoonmaaknormen!J255,0),"")</f>
        <v/>
      </c>
      <c r="CA255" s="547" t="str" cm="1">
        <f t="array" ref="CA255">IF(ISNUMBER(K255),IF(SUM(BT255:BZ260)/LARGE(_xlfn._xlws.FILTER(Ruimtestaat!BD:BD,Ruimtestaat!BC:BC=BR255),1)&lt;K255,K255*LARGE(_xlfn._xlws.FILTER(Ruimtestaat!BD:BD,Ruimtestaat!BC:BC=BR255),1)-SUM(BT255:BZ260),0),"")</f>
        <v/>
      </c>
      <c r="CB255" s="551">
        <f ca="1">SUM(BT255:CA260)</f>
        <v>0</v>
      </c>
    </row>
    <row r="256" spans="1:80" ht="0.2" customHeight="1" x14ac:dyDescent="0.2">
      <c r="A256" s="172">
        <f ca="1">Ruimtestaat!A256</f>
        <v>2</v>
      </c>
      <c r="B256" s="557"/>
      <c r="C256" s="11">
        <v>204</v>
      </c>
      <c r="D256" s="309"/>
      <c r="E256" s="310"/>
      <c r="F256" s="311"/>
      <c r="G256" s="310"/>
      <c r="H256" s="310"/>
      <c r="I256" s="312"/>
      <c r="J256" s="312"/>
      <c r="K256" s="560"/>
      <c r="L256" s="552"/>
      <c r="M256" s="172" t="b">
        <f>IF(_xlfn.XLOOKUP(BB256,Tabel2[Locatiecode],Tabel2[Type locatie],"",0)="vaccin",TRUE,FALSE)</f>
        <v>0</v>
      </c>
      <c r="BB256" s="272" t="str">
        <f>IF(Ruimtestaat!BC256="","",Ruimtestaat!BC256)</f>
        <v/>
      </c>
      <c r="BC256" s="273">
        <f t="shared" si="6"/>
        <v>204</v>
      </c>
      <c r="BD256" s="274">
        <f ca="1">Ruimtestaat!D256*$BC256</f>
        <v>0</v>
      </c>
      <c r="BE256" s="275">
        <f ca="1">Ruimtestaat!E256*$BC256</f>
        <v>0</v>
      </c>
      <c r="BF256" s="275">
        <f ca="1">Ruimtestaat!F256*$BC256</f>
        <v>0</v>
      </c>
      <c r="BG256" s="275">
        <f ca="1">Ruimtestaat!G256*$BC256</f>
        <v>0</v>
      </c>
      <c r="BH256" s="275">
        <f ca="1">Ruimtestaat!H256*$BC256</f>
        <v>0</v>
      </c>
      <c r="BI256" s="276">
        <f ca="1">Ruimtestaat!I256*$BC256</f>
        <v>0</v>
      </c>
      <c r="BJ256" s="277">
        <f ca="1">Ruimtestaat!J256*$BC256</f>
        <v>0</v>
      </c>
      <c r="BK256" s="552"/>
      <c r="BR256" s="272" t="str">
        <f>IF(Ruimtestaat!BC256="","",Ruimtestaat!BC256)</f>
        <v/>
      </c>
      <c r="BS256" s="273">
        <f t="shared" si="7"/>
        <v>204</v>
      </c>
      <c r="BT256" s="274" t="str">
        <f ca="1">IF(BD256&gt;0,IF(ISNUMBER(Schoonmaaknormen!D256),Schoonmaaknormen!BD256/Schoonmaaknormen!D256,0),"")</f>
        <v/>
      </c>
      <c r="BU256" s="275" t="str">
        <f ca="1">IF(BE256&gt;0,IF(ISNUMBER(Schoonmaaknormen!E256),Schoonmaaknormen!BE256/Schoonmaaknormen!E256,0),"")</f>
        <v/>
      </c>
      <c r="BV256" s="275" t="str">
        <f ca="1">IF(BF256&gt;0,IF(ISNUMBER(Schoonmaaknormen!F256),Schoonmaaknormen!BF256/Schoonmaaknormen!F256,0),"")</f>
        <v/>
      </c>
      <c r="BW256" s="275" t="str">
        <f ca="1">IF(BG256&gt;0,IF(ISNUMBER(Schoonmaaknormen!G256),Schoonmaaknormen!BG256/Schoonmaaknormen!G256,0),"")</f>
        <v/>
      </c>
      <c r="BX256" s="275" t="str">
        <f ca="1">IF(BH256&gt;0,IF(ISNUMBER(Schoonmaaknormen!H256),Schoonmaaknormen!BH256/Schoonmaaknormen!H256,0),"")</f>
        <v/>
      </c>
      <c r="BY256" s="276" t="str">
        <f ca="1">IF(BI256&gt;0,IF(ISNUMBER(Schoonmaaknormen!I256),Schoonmaaknormen!BI256/Schoonmaaknormen!I256,0),"")</f>
        <v/>
      </c>
      <c r="BZ256" s="276" t="str">
        <f ca="1">IF(BJ256&gt;0,IF(ISNUMBER(Schoonmaaknormen!J256),Schoonmaaknormen!BJ256/Schoonmaaknormen!J256,0),"")</f>
        <v/>
      </c>
      <c r="CA256" s="548"/>
      <c r="CB256" s="552"/>
    </row>
    <row r="257" spans="1:80" ht="0.2" customHeight="1" x14ac:dyDescent="0.2">
      <c r="A257" s="172">
        <f ca="1">Ruimtestaat!A257</f>
        <v>2</v>
      </c>
      <c r="B257" s="557"/>
      <c r="C257" s="11">
        <v>156</v>
      </c>
      <c r="D257" s="309"/>
      <c r="E257" s="310"/>
      <c r="F257" s="311"/>
      <c r="G257" s="310"/>
      <c r="H257" s="310"/>
      <c r="I257" s="312"/>
      <c r="J257" s="312"/>
      <c r="K257" s="560"/>
      <c r="L257" s="552"/>
      <c r="M257" s="172" t="b">
        <f>IF(_xlfn.XLOOKUP(BB257,Tabel2[Locatiecode],Tabel2[Type locatie],"",0)="vaccin",TRUE,FALSE)</f>
        <v>0</v>
      </c>
      <c r="BB257" s="272" t="str">
        <f>IF(Ruimtestaat!BC257="","",Ruimtestaat!BC257)</f>
        <v/>
      </c>
      <c r="BC257" s="273">
        <f t="shared" si="6"/>
        <v>156</v>
      </c>
      <c r="BD257" s="274">
        <f ca="1">Ruimtestaat!D257*$BC257</f>
        <v>0</v>
      </c>
      <c r="BE257" s="275">
        <f ca="1">Ruimtestaat!E257*$BC257</f>
        <v>0</v>
      </c>
      <c r="BF257" s="275">
        <f ca="1">Ruimtestaat!F257*$BC257</f>
        <v>0</v>
      </c>
      <c r="BG257" s="275">
        <f ca="1">Ruimtestaat!G257*$BC257</f>
        <v>0</v>
      </c>
      <c r="BH257" s="275">
        <f ca="1">Ruimtestaat!H257*$BC257</f>
        <v>0</v>
      </c>
      <c r="BI257" s="276">
        <f ca="1">Ruimtestaat!I257*$BC257</f>
        <v>0</v>
      </c>
      <c r="BJ257" s="277">
        <f ca="1">Ruimtestaat!J257*$BC257</f>
        <v>0</v>
      </c>
      <c r="BK257" s="552"/>
      <c r="BR257" s="272" t="str">
        <f>IF(Ruimtestaat!BC257="","",Ruimtestaat!BC257)</f>
        <v/>
      </c>
      <c r="BS257" s="273">
        <f t="shared" si="7"/>
        <v>156</v>
      </c>
      <c r="BT257" s="274" t="str">
        <f ca="1">IF(BD257&gt;0,IF(ISNUMBER(Schoonmaaknormen!D257),Schoonmaaknormen!BD257/Schoonmaaknormen!D257,0),"")</f>
        <v/>
      </c>
      <c r="BU257" s="275" t="str">
        <f ca="1">IF(BE257&gt;0,IF(ISNUMBER(Schoonmaaknormen!E257),Schoonmaaknormen!BE257/Schoonmaaknormen!E257,0),"")</f>
        <v/>
      </c>
      <c r="BV257" s="275" t="str">
        <f ca="1">IF(BF257&gt;0,IF(ISNUMBER(Schoonmaaknormen!F257),Schoonmaaknormen!BF257/Schoonmaaknormen!F257,0),"")</f>
        <v/>
      </c>
      <c r="BW257" s="275" t="str">
        <f ca="1">IF(BG257&gt;0,IF(ISNUMBER(Schoonmaaknormen!G257),Schoonmaaknormen!BG257/Schoonmaaknormen!G257,0),"")</f>
        <v/>
      </c>
      <c r="BX257" s="275" t="str">
        <f ca="1">IF(BH257&gt;0,IF(ISNUMBER(Schoonmaaknormen!H257),Schoonmaaknormen!BH257/Schoonmaaknormen!H257,0),"")</f>
        <v/>
      </c>
      <c r="BY257" s="276" t="str">
        <f ca="1">IF(BI257&gt;0,IF(ISNUMBER(Schoonmaaknormen!I257),Schoonmaaknormen!BI257/Schoonmaaknormen!I257,0),"")</f>
        <v/>
      </c>
      <c r="BZ257" s="276" t="str">
        <f ca="1">IF(BJ257&gt;0,IF(ISNUMBER(Schoonmaaknormen!J257),Schoonmaaknormen!BJ257/Schoonmaaknormen!J257,0),"")</f>
        <v/>
      </c>
      <c r="CA257" s="548"/>
      <c r="CB257" s="552"/>
    </row>
    <row r="258" spans="1:80" ht="0.2" customHeight="1" x14ac:dyDescent="0.2">
      <c r="A258" s="172">
        <f ca="1">Ruimtestaat!A258</f>
        <v>2</v>
      </c>
      <c r="B258" s="557"/>
      <c r="C258" s="11">
        <v>104</v>
      </c>
      <c r="D258" s="309"/>
      <c r="E258" s="310"/>
      <c r="F258" s="311"/>
      <c r="G258" s="310"/>
      <c r="H258" s="310"/>
      <c r="I258" s="312"/>
      <c r="J258" s="312"/>
      <c r="K258" s="561"/>
      <c r="L258" s="553"/>
      <c r="M258" s="172" t="b">
        <f>IF(_xlfn.XLOOKUP(BB258,Tabel2[Locatiecode],Tabel2[Type locatie],"",0)="vaccin",TRUE,FALSE)</f>
        <v>0</v>
      </c>
      <c r="BB258" s="278" t="str">
        <f>IF(Ruimtestaat!BC258="","",Ruimtestaat!BC258)</f>
        <v/>
      </c>
      <c r="BC258" s="279">
        <f t="shared" si="6"/>
        <v>104</v>
      </c>
      <c r="BD258" s="280">
        <f ca="1">Ruimtestaat!D258*$BC258</f>
        <v>0</v>
      </c>
      <c r="BE258" s="281">
        <f ca="1">Ruimtestaat!E258*$BC258</f>
        <v>0</v>
      </c>
      <c r="BF258" s="281">
        <f ca="1">Ruimtestaat!F258*$BC258</f>
        <v>0</v>
      </c>
      <c r="BG258" s="281">
        <f ca="1">Ruimtestaat!G258*$BC258</f>
        <v>0</v>
      </c>
      <c r="BH258" s="281">
        <f ca="1">Ruimtestaat!H258*$BC258</f>
        <v>0</v>
      </c>
      <c r="BI258" s="282">
        <f ca="1">Ruimtestaat!I258*$BC258</f>
        <v>0</v>
      </c>
      <c r="BJ258" s="283">
        <f ca="1">Ruimtestaat!J258*$BC258</f>
        <v>0</v>
      </c>
      <c r="BK258" s="553"/>
      <c r="BR258" s="278" t="str">
        <f>IF(Ruimtestaat!BC258="","",Ruimtestaat!BC258)</f>
        <v/>
      </c>
      <c r="BS258" s="313">
        <f t="shared" si="7"/>
        <v>104</v>
      </c>
      <c r="BT258" s="280" t="str">
        <f ca="1">IF(BD258&gt;0,IF(ISNUMBER(Schoonmaaknormen!D258),Schoonmaaknormen!BD258/Schoonmaaknormen!D258,0),"")</f>
        <v/>
      </c>
      <c r="BU258" s="314" t="str">
        <f ca="1">IF(BE258&gt;0,IF(ISNUMBER(Schoonmaaknormen!E258),Schoonmaaknormen!BE258/Schoonmaaknormen!E258,0),"")</f>
        <v/>
      </c>
      <c r="BV258" s="314" t="str">
        <f ca="1">IF(BF258&gt;0,IF(ISNUMBER(Schoonmaaknormen!F258),Schoonmaaknormen!BF258/Schoonmaaknormen!F258,0),"")</f>
        <v/>
      </c>
      <c r="BW258" s="314" t="str">
        <f ca="1">IF(BG258&gt;0,IF(ISNUMBER(Schoonmaaknormen!G258),Schoonmaaknormen!BG258/Schoonmaaknormen!G258,0),"")</f>
        <v/>
      </c>
      <c r="BX258" s="314" t="str">
        <f ca="1">IF(BH258&gt;0,IF(ISNUMBER(Schoonmaaknormen!H258),Schoonmaaknormen!BH258/Schoonmaaknormen!H258,0),"")</f>
        <v/>
      </c>
      <c r="BY258" s="282" t="str">
        <f ca="1">IF(BI258&gt;0,IF(ISNUMBER(Schoonmaaknormen!I258),Schoonmaaknormen!BI258/Schoonmaaknormen!I258,0),"")</f>
        <v/>
      </c>
      <c r="BZ258" s="282" t="str">
        <f ca="1">IF(BJ258&gt;0,IF(ISNUMBER(Schoonmaaknormen!J258),Schoonmaaknormen!BJ258/Schoonmaaknormen!J258,0),"")</f>
        <v/>
      </c>
      <c r="CA258" s="549"/>
      <c r="CB258" s="553"/>
    </row>
    <row r="259" spans="1:80" ht="0.2" customHeight="1" x14ac:dyDescent="0.2">
      <c r="A259" s="172">
        <f ca="1">Ruimtestaat!A259</f>
        <v>2</v>
      </c>
      <c r="B259" s="557"/>
      <c r="C259" s="11">
        <v>52</v>
      </c>
      <c r="D259" s="309"/>
      <c r="E259" s="310"/>
      <c r="F259" s="311"/>
      <c r="G259" s="310"/>
      <c r="H259" s="310"/>
      <c r="I259" s="312"/>
      <c r="J259" s="312"/>
      <c r="K259" s="561"/>
      <c r="L259" s="553"/>
      <c r="M259" s="172" t="b">
        <f>IF(_xlfn.XLOOKUP(BB259,Tabel2[Locatiecode],Tabel2[Type locatie],"",0)="vaccin",TRUE,FALSE)</f>
        <v>0</v>
      </c>
      <c r="BB259" s="284" t="str">
        <f>IF(Ruimtestaat!BC259="","",Ruimtestaat!BC259)</f>
        <v/>
      </c>
      <c r="BC259" s="285">
        <f t="shared" si="6"/>
        <v>52</v>
      </c>
      <c r="BD259" s="286">
        <f ca="1">Ruimtestaat!D259*$BC259</f>
        <v>0</v>
      </c>
      <c r="BE259" s="287">
        <f ca="1">Ruimtestaat!E259*$BC259</f>
        <v>0</v>
      </c>
      <c r="BF259" s="287">
        <f ca="1">Ruimtestaat!F259*$BC259</f>
        <v>0</v>
      </c>
      <c r="BG259" s="287">
        <f ca="1">Ruimtestaat!G259*$BC259</f>
        <v>0</v>
      </c>
      <c r="BH259" s="287">
        <f ca="1">Ruimtestaat!H259*$BC259</f>
        <v>0</v>
      </c>
      <c r="BI259" s="288">
        <f ca="1">Ruimtestaat!I259*$BC259</f>
        <v>0</v>
      </c>
      <c r="BJ259" s="289">
        <f ca="1">Ruimtestaat!J259*$BC259</f>
        <v>0</v>
      </c>
      <c r="BK259" s="553"/>
      <c r="BR259" s="284" t="str">
        <f>IF(Ruimtestaat!BC259="","",Ruimtestaat!BC259)</f>
        <v/>
      </c>
      <c r="BS259" s="285">
        <f t="shared" si="7"/>
        <v>52</v>
      </c>
      <c r="BT259" s="286" t="str">
        <f ca="1">IF(BD259&gt;0,IF(ISNUMBER(Schoonmaaknormen!D259),Schoonmaaknormen!BD259/Schoonmaaknormen!D259,0),"")</f>
        <v/>
      </c>
      <c r="BU259" s="287" t="str">
        <f ca="1">IF(BE259&gt;0,IF(ISNUMBER(Schoonmaaknormen!E259),Schoonmaaknormen!BE259/Schoonmaaknormen!E259,0),"")</f>
        <v/>
      </c>
      <c r="BV259" s="287" t="str">
        <f ca="1">IF(BF259&gt;0,IF(ISNUMBER(Schoonmaaknormen!F259),Schoonmaaknormen!BF259/Schoonmaaknormen!F259,0),"")</f>
        <v/>
      </c>
      <c r="BW259" s="287" t="str">
        <f ca="1">IF(BG259&gt;0,IF(ISNUMBER(Schoonmaaknormen!G259),Schoonmaaknormen!BG259/Schoonmaaknormen!G259,0),"")</f>
        <v/>
      </c>
      <c r="BX259" s="287" t="str">
        <f ca="1">IF(BH259&gt;0,IF(ISNUMBER(Schoonmaaknormen!H259),Schoonmaaknormen!BH259/Schoonmaaknormen!H259,0),"")</f>
        <v/>
      </c>
      <c r="BY259" s="288" t="str">
        <f ca="1">IF(BI259&gt;0,IF(ISNUMBER(Schoonmaaknormen!I259),Schoonmaaknormen!BI259/Schoonmaaknormen!I259,0),"")</f>
        <v/>
      </c>
      <c r="BZ259" s="288" t="str">
        <f ca="1">IF(BJ259&gt;0,IF(ISNUMBER(Schoonmaaknormen!J259),Schoonmaaknormen!BJ259/Schoonmaaknormen!J259,0),"")</f>
        <v/>
      </c>
      <c r="CA259" s="549"/>
      <c r="CB259" s="553"/>
    </row>
    <row r="260" spans="1:80" ht="0.2" customHeight="1" x14ac:dyDescent="0.2">
      <c r="A260" s="172">
        <f ca="1">Ruimtestaat!A260</f>
        <v>2</v>
      </c>
      <c r="B260" s="558"/>
      <c r="C260" s="290">
        <v>4</v>
      </c>
      <c r="D260" s="186"/>
      <c r="E260" s="187"/>
      <c r="F260" s="188"/>
      <c r="G260" s="187"/>
      <c r="H260" s="187"/>
      <c r="I260" s="189"/>
      <c r="J260" s="189"/>
      <c r="K260" s="562"/>
      <c r="L260" s="554"/>
      <c r="M260" s="172" t="b">
        <f>IF(_xlfn.XLOOKUP(BB260,Tabel2[Locatiecode],Tabel2[Type locatie],"",0)="vaccin",TRUE,FALSE)</f>
        <v>0</v>
      </c>
      <c r="BB260" s="291" t="str">
        <f>IF(Ruimtestaat!BC260="","",Ruimtestaat!BC260)</f>
        <v/>
      </c>
      <c r="BC260" s="292">
        <f t="shared" ref="BC260:BC302" si="8">C260</f>
        <v>4</v>
      </c>
      <c r="BD260" s="293">
        <f ca="1">Ruimtestaat!D260*$BC260</f>
        <v>0</v>
      </c>
      <c r="BE260" s="294">
        <f ca="1">Ruimtestaat!E260*$BC260</f>
        <v>0</v>
      </c>
      <c r="BF260" s="294">
        <f ca="1">Ruimtestaat!F260*$BC260</f>
        <v>0</v>
      </c>
      <c r="BG260" s="294">
        <f ca="1">Ruimtestaat!G260*$BC260</f>
        <v>0</v>
      </c>
      <c r="BH260" s="294">
        <f ca="1">Ruimtestaat!H260*$BC260</f>
        <v>0</v>
      </c>
      <c r="BI260" s="295">
        <f ca="1">Ruimtestaat!I260*$BC260</f>
        <v>0</v>
      </c>
      <c r="BJ260" s="296">
        <f ca="1">Ruimtestaat!J260*$BC260</f>
        <v>0</v>
      </c>
      <c r="BK260" s="554"/>
      <c r="BR260" s="291" t="str">
        <f>IF(Ruimtestaat!BC260="","",Ruimtestaat!BC260)</f>
        <v/>
      </c>
      <c r="BS260" s="292">
        <f t="shared" ref="BS260:BS302" si="9">C260</f>
        <v>4</v>
      </c>
      <c r="BT260" s="293" t="str">
        <f ca="1">IF(BD260&gt;0,IF(ISNUMBER(Schoonmaaknormen!D260),Schoonmaaknormen!BD260/Schoonmaaknormen!D260,0),"")</f>
        <v/>
      </c>
      <c r="BU260" s="294" t="str">
        <f ca="1">IF(BE260&gt;0,IF(ISNUMBER(Schoonmaaknormen!E260),Schoonmaaknormen!BE260/Schoonmaaknormen!E260,0),"")</f>
        <v/>
      </c>
      <c r="BV260" s="294" t="str">
        <f ca="1">IF(BF260&gt;0,IF(ISNUMBER(Schoonmaaknormen!F260),Schoonmaaknormen!BF260/Schoonmaaknormen!F260,0),"")</f>
        <v/>
      </c>
      <c r="BW260" s="294" t="str">
        <f ca="1">IF(BG260&gt;0,IF(ISNUMBER(Schoonmaaknormen!G260),Schoonmaaknormen!BG260/Schoonmaaknormen!G260,0),"")</f>
        <v/>
      </c>
      <c r="BX260" s="294" t="str">
        <f ca="1">IF(BH260&gt;0,IF(ISNUMBER(Schoonmaaknormen!H260),Schoonmaaknormen!BH260/Schoonmaaknormen!H260,0),"")</f>
        <v/>
      </c>
      <c r="BY260" s="295" t="str">
        <f ca="1">IF(BI260&gt;0,IF(ISNUMBER(Schoonmaaknormen!I260),Schoonmaaknormen!BI260/Schoonmaaknormen!I260,0),"")</f>
        <v/>
      </c>
      <c r="BZ260" s="295" t="str">
        <f ca="1">IF(BJ260&gt;0,IF(ISNUMBER(Schoonmaaknormen!J260),Schoonmaaknormen!BJ260/Schoonmaaknormen!J260,0),"")</f>
        <v/>
      </c>
      <c r="CA260" s="555"/>
      <c r="CB260" s="554"/>
    </row>
    <row r="261" spans="1:80" ht="0.2" customHeight="1" x14ac:dyDescent="0.2">
      <c r="A261" s="172">
        <f ca="1">Ruimtestaat!A261</f>
        <v>2</v>
      </c>
      <c r="B261" s="556" t="str">
        <f>BB261</f>
        <v/>
      </c>
      <c r="C261" s="298">
        <v>255</v>
      </c>
      <c r="D261" s="299"/>
      <c r="E261" s="300"/>
      <c r="F261" s="301"/>
      <c r="G261" s="300"/>
      <c r="H261" s="300"/>
      <c r="I261" s="302"/>
      <c r="J261" s="302"/>
      <c r="K261" s="559"/>
      <c r="L261" s="551" t="str" cm="1">
        <f t="array" aca="1" ref="L261" ca="1">_xlfn.IFS(A261=2,"",COUNTBLANK(D261:J266)=COUNTIF(Ruimtestaat!D261:J266,"&lt;=0"),BK261/CB261,TRUE,"")</f>
        <v/>
      </c>
      <c r="M261" s="172" t="b">
        <f>IF(_xlfn.XLOOKUP(BB261,Tabel2[Locatiecode],Tabel2[Type locatie],"",0)="vaccin",TRUE,FALSE)</f>
        <v>0</v>
      </c>
      <c r="BB261" s="303" t="str">
        <f>IF(Ruimtestaat!BC261="","",Ruimtestaat!BC261)</f>
        <v/>
      </c>
      <c r="BC261" s="304">
        <f t="shared" si="8"/>
        <v>255</v>
      </c>
      <c r="BD261" s="305">
        <f ca="1">Ruimtestaat!D261*$BC261</f>
        <v>0</v>
      </c>
      <c r="BE261" s="306">
        <f ca="1">Ruimtestaat!E261*$BC261</f>
        <v>0</v>
      </c>
      <c r="BF261" s="306">
        <f ca="1">Ruimtestaat!F261*$BC261</f>
        <v>0</v>
      </c>
      <c r="BG261" s="306">
        <f ca="1">Ruimtestaat!G261*$BC261</f>
        <v>0</v>
      </c>
      <c r="BH261" s="306">
        <f ca="1">Ruimtestaat!H261*$BC261</f>
        <v>0</v>
      </c>
      <c r="BI261" s="307">
        <f ca="1">Ruimtestaat!I261*$BC261</f>
        <v>0</v>
      </c>
      <c r="BJ261" s="308">
        <f ca="1">Ruimtestaat!J261*$BC261</f>
        <v>0</v>
      </c>
      <c r="BK261" s="552">
        <f ca="1">SUM(BD261:BJ266)</f>
        <v>0</v>
      </c>
      <c r="BR261" s="303" t="str">
        <f>IF(Ruimtestaat!BC261="","",Ruimtestaat!BC261)</f>
        <v/>
      </c>
      <c r="BS261" s="304">
        <f t="shared" si="9"/>
        <v>255</v>
      </c>
      <c r="BT261" s="305" t="str">
        <f ca="1">IF(BD261&gt;0,IF(ISNUMBER(Schoonmaaknormen!D261),Schoonmaaknormen!BD261/Schoonmaaknormen!D261,0),"")</f>
        <v/>
      </c>
      <c r="BU261" s="306" t="str">
        <f ca="1">IF(BE261&gt;0,IF(ISNUMBER(Schoonmaaknormen!E261),Schoonmaaknormen!BE261/Schoonmaaknormen!E261,0),"")</f>
        <v/>
      </c>
      <c r="BV261" s="306" t="str">
        <f ca="1">IF(BF261&gt;0,IF(ISNUMBER(Schoonmaaknormen!F261),Schoonmaaknormen!BF261/Schoonmaaknormen!F261,0),"")</f>
        <v/>
      </c>
      <c r="BW261" s="306" t="str">
        <f ca="1">IF(BG261&gt;0,IF(ISNUMBER(Schoonmaaknormen!G261),Schoonmaaknormen!BG261/Schoonmaaknormen!G261,0),"")</f>
        <v/>
      </c>
      <c r="BX261" s="306" t="str">
        <f ca="1">IF(BH261&gt;0,IF(ISNUMBER(Schoonmaaknormen!H261),Schoonmaaknormen!BH261/Schoonmaaknormen!H261,0),"")</f>
        <v/>
      </c>
      <c r="BY261" s="315" t="str">
        <f ca="1">IF(BI261&gt;0,IF(ISNUMBER(Schoonmaaknormen!I261),Schoonmaaknormen!BI261/Schoonmaaknormen!I261,0),"")</f>
        <v/>
      </c>
      <c r="BZ261" s="315" t="str">
        <f ca="1">IF(BJ261&gt;0,IF(ISNUMBER(Schoonmaaknormen!J261),Schoonmaaknormen!BJ261/Schoonmaaknormen!J261,0),"")</f>
        <v/>
      </c>
      <c r="CA261" s="547" t="str" cm="1">
        <f t="array" ref="CA261">IF(ISNUMBER(K261),IF(SUM(BT261:BZ266)/LARGE(_xlfn._xlws.FILTER(Ruimtestaat!BD:BD,Ruimtestaat!BC:BC=BR261),1)&lt;K261,K261*LARGE(_xlfn._xlws.FILTER(Ruimtestaat!BD:BD,Ruimtestaat!BC:BC=BR261),1)-SUM(BT261:BZ266),0),"")</f>
        <v/>
      </c>
      <c r="CB261" s="551">
        <f ca="1">SUM(BT261:CA266)</f>
        <v>0</v>
      </c>
    </row>
    <row r="262" spans="1:80" ht="0.2" customHeight="1" x14ac:dyDescent="0.2">
      <c r="A262" s="172">
        <f ca="1">Ruimtestaat!A262</f>
        <v>2</v>
      </c>
      <c r="B262" s="557"/>
      <c r="C262" s="11">
        <v>204</v>
      </c>
      <c r="D262" s="309"/>
      <c r="E262" s="310"/>
      <c r="F262" s="311"/>
      <c r="G262" s="310"/>
      <c r="H262" s="310"/>
      <c r="I262" s="312"/>
      <c r="J262" s="312"/>
      <c r="K262" s="560"/>
      <c r="L262" s="552"/>
      <c r="M262" s="172" t="b">
        <f>IF(_xlfn.XLOOKUP(BB262,Tabel2[Locatiecode],Tabel2[Type locatie],"",0)="vaccin",TRUE,FALSE)</f>
        <v>0</v>
      </c>
      <c r="BB262" s="272" t="str">
        <f>IF(Ruimtestaat!BC262="","",Ruimtestaat!BC262)</f>
        <v/>
      </c>
      <c r="BC262" s="273">
        <f t="shared" si="8"/>
        <v>204</v>
      </c>
      <c r="BD262" s="274">
        <f ca="1">Ruimtestaat!D262*$BC262</f>
        <v>0</v>
      </c>
      <c r="BE262" s="275">
        <f ca="1">Ruimtestaat!E262*$BC262</f>
        <v>0</v>
      </c>
      <c r="BF262" s="275">
        <f ca="1">Ruimtestaat!F262*$BC262</f>
        <v>0</v>
      </c>
      <c r="BG262" s="275">
        <f ca="1">Ruimtestaat!G262*$BC262</f>
        <v>0</v>
      </c>
      <c r="BH262" s="275">
        <f ca="1">Ruimtestaat!H262*$BC262</f>
        <v>0</v>
      </c>
      <c r="BI262" s="276">
        <f ca="1">Ruimtestaat!I262*$BC262</f>
        <v>0</v>
      </c>
      <c r="BJ262" s="277">
        <f ca="1">Ruimtestaat!J262*$BC262</f>
        <v>0</v>
      </c>
      <c r="BK262" s="552"/>
      <c r="BR262" s="272" t="str">
        <f>IF(Ruimtestaat!BC262="","",Ruimtestaat!BC262)</f>
        <v/>
      </c>
      <c r="BS262" s="273">
        <f t="shared" si="9"/>
        <v>204</v>
      </c>
      <c r="BT262" s="274" t="str">
        <f ca="1">IF(BD262&gt;0,IF(ISNUMBER(Schoonmaaknormen!D262),Schoonmaaknormen!BD262/Schoonmaaknormen!D262,0),"")</f>
        <v/>
      </c>
      <c r="BU262" s="275" t="str">
        <f ca="1">IF(BE262&gt;0,IF(ISNUMBER(Schoonmaaknormen!E262),Schoonmaaknormen!BE262/Schoonmaaknormen!E262,0),"")</f>
        <v/>
      </c>
      <c r="BV262" s="275" t="str">
        <f ca="1">IF(BF262&gt;0,IF(ISNUMBER(Schoonmaaknormen!F262),Schoonmaaknormen!BF262/Schoonmaaknormen!F262,0),"")</f>
        <v/>
      </c>
      <c r="BW262" s="275" t="str">
        <f ca="1">IF(BG262&gt;0,IF(ISNUMBER(Schoonmaaknormen!G262),Schoonmaaknormen!BG262/Schoonmaaknormen!G262,0),"")</f>
        <v/>
      </c>
      <c r="BX262" s="275" t="str">
        <f ca="1">IF(BH262&gt;0,IF(ISNUMBER(Schoonmaaknormen!H262),Schoonmaaknormen!BH262/Schoonmaaknormen!H262,0),"")</f>
        <v/>
      </c>
      <c r="BY262" s="276" t="str">
        <f ca="1">IF(BI262&gt;0,IF(ISNUMBER(Schoonmaaknormen!I262),Schoonmaaknormen!BI262/Schoonmaaknormen!I262,0),"")</f>
        <v/>
      </c>
      <c r="BZ262" s="276" t="str">
        <f ca="1">IF(BJ262&gt;0,IF(ISNUMBER(Schoonmaaknormen!J262),Schoonmaaknormen!BJ262/Schoonmaaknormen!J262,0),"")</f>
        <v/>
      </c>
      <c r="CA262" s="548"/>
      <c r="CB262" s="552"/>
    </row>
    <row r="263" spans="1:80" ht="0.2" customHeight="1" x14ac:dyDescent="0.2">
      <c r="A263" s="172">
        <f ca="1">Ruimtestaat!A263</f>
        <v>2</v>
      </c>
      <c r="B263" s="557"/>
      <c r="C263" s="11">
        <v>156</v>
      </c>
      <c r="D263" s="309"/>
      <c r="E263" s="310"/>
      <c r="F263" s="311"/>
      <c r="G263" s="310"/>
      <c r="H263" s="310"/>
      <c r="I263" s="312"/>
      <c r="J263" s="312"/>
      <c r="K263" s="560"/>
      <c r="L263" s="552"/>
      <c r="M263" s="172" t="b">
        <f>IF(_xlfn.XLOOKUP(BB263,Tabel2[Locatiecode],Tabel2[Type locatie],"",0)="vaccin",TRUE,FALSE)</f>
        <v>0</v>
      </c>
      <c r="BB263" s="272" t="str">
        <f>IF(Ruimtestaat!BC263="","",Ruimtestaat!BC263)</f>
        <v/>
      </c>
      <c r="BC263" s="273">
        <f t="shared" si="8"/>
        <v>156</v>
      </c>
      <c r="BD263" s="274">
        <f ca="1">Ruimtestaat!D263*$BC263</f>
        <v>0</v>
      </c>
      <c r="BE263" s="275">
        <f ca="1">Ruimtestaat!E263*$BC263</f>
        <v>0</v>
      </c>
      <c r="BF263" s="275">
        <f ca="1">Ruimtestaat!F263*$BC263</f>
        <v>0</v>
      </c>
      <c r="BG263" s="275">
        <f ca="1">Ruimtestaat!G263*$BC263</f>
        <v>0</v>
      </c>
      <c r="BH263" s="275">
        <f ca="1">Ruimtestaat!H263*$BC263</f>
        <v>0</v>
      </c>
      <c r="BI263" s="276">
        <f ca="1">Ruimtestaat!I263*$BC263</f>
        <v>0</v>
      </c>
      <c r="BJ263" s="277">
        <f ca="1">Ruimtestaat!J263*$BC263</f>
        <v>0</v>
      </c>
      <c r="BK263" s="552"/>
      <c r="BR263" s="272" t="str">
        <f>IF(Ruimtestaat!BC263="","",Ruimtestaat!BC263)</f>
        <v/>
      </c>
      <c r="BS263" s="273">
        <f t="shared" si="9"/>
        <v>156</v>
      </c>
      <c r="BT263" s="274" t="str">
        <f ca="1">IF(BD263&gt;0,IF(ISNUMBER(Schoonmaaknormen!D263),Schoonmaaknormen!BD263/Schoonmaaknormen!D263,0),"")</f>
        <v/>
      </c>
      <c r="BU263" s="275" t="str">
        <f ca="1">IF(BE263&gt;0,IF(ISNUMBER(Schoonmaaknormen!E263),Schoonmaaknormen!BE263/Schoonmaaknormen!E263,0),"")</f>
        <v/>
      </c>
      <c r="BV263" s="275" t="str">
        <f ca="1">IF(BF263&gt;0,IF(ISNUMBER(Schoonmaaknormen!F263),Schoonmaaknormen!BF263/Schoonmaaknormen!F263,0),"")</f>
        <v/>
      </c>
      <c r="BW263" s="275" t="str">
        <f ca="1">IF(BG263&gt;0,IF(ISNUMBER(Schoonmaaknormen!G263),Schoonmaaknormen!BG263/Schoonmaaknormen!G263,0),"")</f>
        <v/>
      </c>
      <c r="BX263" s="275" t="str">
        <f ca="1">IF(BH263&gt;0,IF(ISNUMBER(Schoonmaaknormen!H263),Schoonmaaknormen!BH263/Schoonmaaknormen!H263,0),"")</f>
        <v/>
      </c>
      <c r="BY263" s="276" t="str">
        <f ca="1">IF(BI263&gt;0,IF(ISNUMBER(Schoonmaaknormen!I263),Schoonmaaknormen!BI263/Schoonmaaknormen!I263,0),"")</f>
        <v/>
      </c>
      <c r="BZ263" s="276" t="str">
        <f ca="1">IF(BJ263&gt;0,IF(ISNUMBER(Schoonmaaknormen!J263),Schoonmaaknormen!BJ263/Schoonmaaknormen!J263,0),"")</f>
        <v/>
      </c>
      <c r="CA263" s="548"/>
      <c r="CB263" s="552"/>
    </row>
    <row r="264" spans="1:80" ht="0.2" customHeight="1" x14ac:dyDescent="0.2">
      <c r="A264" s="172">
        <f ca="1">Ruimtestaat!A264</f>
        <v>2</v>
      </c>
      <c r="B264" s="557"/>
      <c r="C264" s="11">
        <v>104</v>
      </c>
      <c r="D264" s="309"/>
      <c r="E264" s="310"/>
      <c r="F264" s="311"/>
      <c r="G264" s="310"/>
      <c r="H264" s="310"/>
      <c r="I264" s="312"/>
      <c r="J264" s="312"/>
      <c r="K264" s="561"/>
      <c r="L264" s="553"/>
      <c r="M264" s="172" t="b">
        <f>IF(_xlfn.XLOOKUP(BB264,Tabel2[Locatiecode],Tabel2[Type locatie],"",0)="vaccin",TRUE,FALSE)</f>
        <v>0</v>
      </c>
      <c r="BB264" s="278" t="str">
        <f>IF(Ruimtestaat!BC264="","",Ruimtestaat!BC264)</f>
        <v/>
      </c>
      <c r="BC264" s="279">
        <f t="shared" si="8"/>
        <v>104</v>
      </c>
      <c r="BD264" s="280">
        <f ca="1">Ruimtestaat!D264*$BC264</f>
        <v>0</v>
      </c>
      <c r="BE264" s="281">
        <f ca="1">Ruimtestaat!E264*$BC264</f>
        <v>0</v>
      </c>
      <c r="BF264" s="281">
        <f ca="1">Ruimtestaat!F264*$BC264</f>
        <v>0</v>
      </c>
      <c r="BG264" s="281">
        <f ca="1">Ruimtestaat!G264*$BC264</f>
        <v>0</v>
      </c>
      <c r="BH264" s="281">
        <f ca="1">Ruimtestaat!H264*$BC264</f>
        <v>0</v>
      </c>
      <c r="BI264" s="282">
        <f ca="1">Ruimtestaat!I264*$BC264</f>
        <v>0</v>
      </c>
      <c r="BJ264" s="283">
        <f ca="1">Ruimtestaat!J264*$BC264</f>
        <v>0</v>
      </c>
      <c r="BK264" s="553"/>
      <c r="BR264" s="278" t="str">
        <f>IF(Ruimtestaat!BC264="","",Ruimtestaat!BC264)</f>
        <v/>
      </c>
      <c r="BS264" s="313">
        <f t="shared" si="9"/>
        <v>104</v>
      </c>
      <c r="BT264" s="280" t="str">
        <f ca="1">IF(BD264&gt;0,IF(ISNUMBER(Schoonmaaknormen!D264),Schoonmaaknormen!BD264/Schoonmaaknormen!D264,0),"")</f>
        <v/>
      </c>
      <c r="BU264" s="314" t="str">
        <f ca="1">IF(BE264&gt;0,IF(ISNUMBER(Schoonmaaknormen!E264),Schoonmaaknormen!BE264/Schoonmaaknormen!E264,0),"")</f>
        <v/>
      </c>
      <c r="BV264" s="314" t="str">
        <f ca="1">IF(BF264&gt;0,IF(ISNUMBER(Schoonmaaknormen!F264),Schoonmaaknormen!BF264/Schoonmaaknormen!F264,0),"")</f>
        <v/>
      </c>
      <c r="BW264" s="314" t="str">
        <f ca="1">IF(BG264&gt;0,IF(ISNUMBER(Schoonmaaknormen!G264),Schoonmaaknormen!BG264/Schoonmaaknormen!G264,0),"")</f>
        <v/>
      </c>
      <c r="BX264" s="314" t="str">
        <f ca="1">IF(BH264&gt;0,IF(ISNUMBER(Schoonmaaknormen!H264),Schoonmaaknormen!BH264/Schoonmaaknormen!H264,0),"")</f>
        <v/>
      </c>
      <c r="BY264" s="282" t="str">
        <f ca="1">IF(BI264&gt;0,IF(ISNUMBER(Schoonmaaknormen!I264),Schoonmaaknormen!BI264/Schoonmaaknormen!I264,0),"")</f>
        <v/>
      </c>
      <c r="BZ264" s="282" t="str">
        <f ca="1">IF(BJ264&gt;0,IF(ISNUMBER(Schoonmaaknormen!J264),Schoonmaaknormen!BJ264/Schoonmaaknormen!J264,0),"")</f>
        <v/>
      </c>
      <c r="CA264" s="549"/>
      <c r="CB264" s="553"/>
    </row>
    <row r="265" spans="1:80" ht="0.2" customHeight="1" x14ac:dyDescent="0.2">
      <c r="A265" s="172">
        <f ca="1">Ruimtestaat!A265</f>
        <v>2</v>
      </c>
      <c r="B265" s="557"/>
      <c r="C265" s="11">
        <v>52</v>
      </c>
      <c r="D265" s="309"/>
      <c r="E265" s="310"/>
      <c r="F265" s="311"/>
      <c r="G265" s="310"/>
      <c r="H265" s="310"/>
      <c r="I265" s="312"/>
      <c r="J265" s="312"/>
      <c r="K265" s="561"/>
      <c r="L265" s="553"/>
      <c r="M265" s="172" t="b">
        <f>IF(_xlfn.XLOOKUP(BB265,Tabel2[Locatiecode],Tabel2[Type locatie],"",0)="vaccin",TRUE,FALSE)</f>
        <v>0</v>
      </c>
      <c r="BB265" s="284" t="str">
        <f>IF(Ruimtestaat!BC265="","",Ruimtestaat!BC265)</f>
        <v/>
      </c>
      <c r="BC265" s="285">
        <f t="shared" si="8"/>
        <v>52</v>
      </c>
      <c r="BD265" s="286">
        <f ca="1">Ruimtestaat!D265*$BC265</f>
        <v>0</v>
      </c>
      <c r="BE265" s="287">
        <f ca="1">Ruimtestaat!E265*$BC265</f>
        <v>0</v>
      </c>
      <c r="BF265" s="287">
        <f ca="1">Ruimtestaat!F265*$BC265</f>
        <v>0</v>
      </c>
      <c r="BG265" s="287">
        <f ca="1">Ruimtestaat!G265*$BC265</f>
        <v>0</v>
      </c>
      <c r="BH265" s="287">
        <f ca="1">Ruimtestaat!H265*$BC265</f>
        <v>0</v>
      </c>
      <c r="BI265" s="288">
        <f ca="1">Ruimtestaat!I265*$BC265</f>
        <v>0</v>
      </c>
      <c r="BJ265" s="289">
        <f ca="1">Ruimtestaat!J265*$BC265</f>
        <v>0</v>
      </c>
      <c r="BK265" s="553"/>
      <c r="BR265" s="284" t="str">
        <f>IF(Ruimtestaat!BC265="","",Ruimtestaat!BC265)</f>
        <v/>
      </c>
      <c r="BS265" s="285">
        <f t="shared" si="9"/>
        <v>52</v>
      </c>
      <c r="BT265" s="286" t="str">
        <f ca="1">IF(BD265&gt;0,IF(ISNUMBER(Schoonmaaknormen!D265),Schoonmaaknormen!BD265/Schoonmaaknormen!D265,0),"")</f>
        <v/>
      </c>
      <c r="BU265" s="287" t="str">
        <f ca="1">IF(BE265&gt;0,IF(ISNUMBER(Schoonmaaknormen!E265),Schoonmaaknormen!BE265/Schoonmaaknormen!E265,0),"")</f>
        <v/>
      </c>
      <c r="BV265" s="287" t="str">
        <f ca="1">IF(BF265&gt;0,IF(ISNUMBER(Schoonmaaknormen!F265),Schoonmaaknormen!BF265/Schoonmaaknormen!F265,0),"")</f>
        <v/>
      </c>
      <c r="BW265" s="287" t="str">
        <f ca="1">IF(BG265&gt;0,IF(ISNUMBER(Schoonmaaknormen!G265),Schoonmaaknormen!BG265/Schoonmaaknormen!G265,0),"")</f>
        <v/>
      </c>
      <c r="BX265" s="287" t="str">
        <f ca="1">IF(BH265&gt;0,IF(ISNUMBER(Schoonmaaknormen!H265),Schoonmaaknormen!BH265/Schoonmaaknormen!H265,0),"")</f>
        <v/>
      </c>
      <c r="BY265" s="288" t="str">
        <f ca="1">IF(BI265&gt;0,IF(ISNUMBER(Schoonmaaknormen!I265),Schoonmaaknormen!BI265/Schoonmaaknormen!I265,0),"")</f>
        <v/>
      </c>
      <c r="BZ265" s="288" t="str">
        <f ca="1">IF(BJ265&gt;0,IF(ISNUMBER(Schoonmaaknormen!J265),Schoonmaaknormen!BJ265/Schoonmaaknormen!J265,0),"")</f>
        <v/>
      </c>
      <c r="CA265" s="549"/>
      <c r="CB265" s="553"/>
    </row>
    <row r="266" spans="1:80" ht="0.2" customHeight="1" x14ac:dyDescent="0.2">
      <c r="A266" s="172">
        <f ca="1">Ruimtestaat!A266</f>
        <v>2</v>
      </c>
      <c r="B266" s="558"/>
      <c r="C266" s="290">
        <v>4</v>
      </c>
      <c r="D266" s="186"/>
      <c r="E266" s="187"/>
      <c r="F266" s="188"/>
      <c r="G266" s="187"/>
      <c r="H266" s="187"/>
      <c r="I266" s="189"/>
      <c r="J266" s="189"/>
      <c r="K266" s="562"/>
      <c r="L266" s="554"/>
      <c r="M266" s="172" t="b">
        <f>IF(_xlfn.XLOOKUP(BB266,Tabel2[Locatiecode],Tabel2[Type locatie],"",0)="vaccin",TRUE,FALSE)</f>
        <v>0</v>
      </c>
      <c r="BB266" s="291" t="str">
        <f>IF(Ruimtestaat!BC266="","",Ruimtestaat!BC266)</f>
        <v/>
      </c>
      <c r="BC266" s="292">
        <f t="shared" si="8"/>
        <v>4</v>
      </c>
      <c r="BD266" s="293">
        <f ca="1">Ruimtestaat!D266*$BC266</f>
        <v>0</v>
      </c>
      <c r="BE266" s="294">
        <f ca="1">Ruimtestaat!E266*$BC266</f>
        <v>0</v>
      </c>
      <c r="BF266" s="294">
        <f ca="1">Ruimtestaat!F266*$BC266</f>
        <v>0</v>
      </c>
      <c r="BG266" s="294">
        <f ca="1">Ruimtestaat!G266*$BC266</f>
        <v>0</v>
      </c>
      <c r="BH266" s="294">
        <f ca="1">Ruimtestaat!H266*$BC266</f>
        <v>0</v>
      </c>
      <c r="BI266" s="295">
        <f ca="1">Ruimtestaat!I266*$BC266</f>
        <v>0</v>
      </c>
      <c r="BJ266" s="296">
        <f ca="1">Ruimtestaat!J266*$BC266</f>
        <v>0</v>
      </c>
      <c r="BK266" s="554"/>
      <c r="BR266" s="291" t="str">
        <f>IF(Ruimtestaat!BC266="","",Ruimtestaat!BC266)</f>
        <v/>
      </c>
      <c r="BS266" s="292">
        <f t="shared" si="9"/>
        <v>4</v>
      </c>
      <c r="BT266" s="293" t="str">
        <f ca="1">IF(BD266&gt;0,IF(ISNUMBER(Schoonmaaknormen!D266),Schoonmaaknormen!BD266/Schoonmaaknormen!D266,0),"")</f>
        <v/>
      </c>
      <c r="BU266" s="294" t="str">
        <f ca="1">IF(BE266&gt;0,IF(ISNUMBER(Schoonmaaknormen!E266),Schoonmaaknormen!BE266/Schoonmaaknormen!E266,0),"")</f>
        <v/>
      </c>
      <c r="BV266" s="294" t="str">
        <f ca="1">IF(BF266&gt;0,IF(ISNUMBER(Schoonmaaknormen!F266),Schoonmaaknormen!BF266/Schoonmaaknormen!F266,0),"")</f>
        <v/>
      </c>
      <c r="BW266" s="294" t="str">
        <f ca="1">IF(BG266&gt;0,IF(ISNUMBER(Schoonmaaknormen!G266),Schoonmaaknormen!BG266/Schoonmaaknormen!G266,0),"")</f>
        <v/>
      </c>
      <c r="BX266" s="294" t="str">
        <f ca="1">IF(BH266&gt;0,IF(ISNUMBER(Schoonmaaknormen!H266),Schoonmaaknormen!BH266/Schoonmaaknormen!H266,0),"")</f>
        <v/>
      </c>
      <c r="BY266" s="295" t="str">
        <f ca="1">IF(BI266&gt;0,IF(ISNUMBER(Schoonmaaknormen!I266),Schoonmaaknormen!BI266/Schoonmaaknormen!I266,0),"")</f>
        <v/>
      </c>
      <c r="BZ266" s="295" t="str">
        <f ca="1">IF(BJ266&gt;0,IF(ISNUMBER(Schoonmaaknormen!J266),Schoonmaaknormen!BJ266/Schoonmaaknormen!J266,0),"")</f>
        <v/>
      </c>
      <c r="CA266" s="555"/>
      <c r="CB266" s="554"/>
    </row>
    <row r="267" spans="1:80" ht="0.2" customHeight="1" x14ac:dyDescent="0.2">
      <c r="A267" s="172">
        <f ca="1">Ruimtestaat!A267</f>
        <v>2</v>
      </c>
      <c r="B267" s="556" t="str">
        <f>BB267</f>
        <v/>
      </c>
      <c r="C267" s="298">
        <v>255</v>
      </c>
      <c r="D267" s="299"/>
      <c r="E267" s="300"/>
      <c r="F267" s="301"/>
      <c r="G267" s="300"/>
      <c r="H267" s="300"/>
      <c r="I267" s="302"/>
      <c r="J267" s="302"/>
      <c r="K267" s="559"/>
      <c r="L267" s="551" t="str" cm="1">
        <f t="array" aca="1" ref="L267" ca="1">_xlfn.IFS(A267=2,"",COUNTBLANK(D267:J272)=COUNTIF(Ruimtestaat!D267:J272,"&lt;=0"),BK267/CB267,TRUE,"")</f>
        <v/>
      </c>
      <c r="M267" s="172" t="b">
        <f>IF(_xlfn.XLOOKUP(BB267,Tabel2[Locatiecode],Tabel2[Type locatie],"",0)="vaccin",TRUE,FALSE)</f>
        <v>0</v>
      </c>
      <c r="BB267" s="303" t="str">
        <f>IF(Ruimtestaat!BC267="","",Ruimtestaat!BC267)</f>
        <v/>
      </c>
      <c r="BC267" s="304">
        <f t="shared" si="8"/>
        <v>255</v>
      </c>
      <c r="BD267" s="305">
        <f ca="1">Ruimtestaat!D267*$BC267</f>
        <v>0</v>
      </c>
      <c r="BE267" s="306">
        <f ca="1">Ruimtestaat!E267*$BC267</f>
        <v>0</v>
      </c>
      <c r="BF267" s="306">
        <f ca="1">Ruimtestaat!F267*$BC267</f>
        <v>0</v>
      </c>
      <c r="BG267" s="306">
        <f ca="1">Ruimtestaat!G267*$BC267</f>
        <v>0</v>
      </c>
      <c r="BH267" s="306">
        <f ca="1">Ruimtestaat!H267*$BC267</f>
        <v>0</v>
      </c>
      <c r="BI267" s="307">
        <f ca="1">Ruimtestaat!I267*$BC267</f>
        <v>0</v>
      </c>
      <c r="BJ267" s="308">
        <f ca="1">Ruimtestaat!J267*$BC267</f>
        <v>0</v>
      </c>
      <c r="BK267" s="552">
        <f ca="1">SUM(BD267:BJ272)</f>
        <v>0</v>
      </c>
      <c r="BR267" s="303" t="str">
        <f>IF(Ruimtestaat!BC267="","",Ruimtestaat!BC267)</f>
        <v/>
      </c>
      <c r="BS267" s="304">
        <f t="shared" si="9"/>
        <v>255</v>
      </c>
      <c r="BT267" s="305" t="str">
        <f ca="1">IF(BD267&gt;0,IF(ISNUMBER(Schoonmaaknormen!D267),Schoonmaaknormen!BD267/Schoonmaaknormen!D267,0),"")</f>
        <v/>
      </c>
      <c r="BU267" s="306" t="str">
        <f ca="1">IF(BE267&gt;0,IF(ISNUMBER(Schoonmaaknormen!E267),Schoonmaaknormen!BE267/Schoonmaaknormen!E267,0),"")</f>
        <v/>
      </c>
      <c r="BV267" s="306" t="str">
        <f ca="1">IF(BF267&gt;0,IF(ISNUMBER(Schoonmaaknormen!F267),Schoonmaaknormen!BF267/Schoonmaaknormen!F267,0),"")</f>
        <v/>
      </c>
      <c r="BW267" s="306" t="str">
        <f ca="1">IF(BG267&gt;0,IF(ISNUMBER(Schoonmaaknormen!G267),Schoonmaaknormen!BG267/Schoonmaaknormen!G267,0),"")</f>
        <v/>
      </c>
      <c r="BX267" s="306" t="str">
        <f ca="1">IF(BH267&gt;0,IF(ISNUMBER(Schoonmaaknormen!H267),Schoonmaaknormen!BH267/Schoonmaaknormen!H267,0),"")</f>
        <v/>
      </c>
      <c r="BY267" s="315" t="str">
        <f ca="1">IF(BI267&gt;0,IF(ISNUMBER(Schoonmaaknormen!I267),Schoonmaaknormen!BI267/Schoonmaaknormen!I267,0),"")</f>
        <v/>
      </c>
      <c r="BZ267" s="315" t="str">
        <f ca="1">IF(BJ267&gt;0,IF(ISNUMBER(Schoonmaaknormen!J267),Schoonmaaknormen!BJ267/Schoonmaaknormen!J267,0),"")</f>
        <v/>
      </c>
      <c r="CA267" s="547" t="str" cm="1">
        <f t="array" ref="CA267">IF(ISNUMBER(K267),IF(SUM(BT267:BZ272)/LARGE(_xlfn._xlws.FILTER(Ruimtestaat!BD:BD,Ruimtestaat!BC:BC=BR267),1)&lt;K267,K267*LARGE(_xlfn._xlws.FILTER(Ruimtestaat!BD:BD,Ruimtestaat!BC:BC=BR267),1)-SUM(BT267:BZ272),0),"")</f>
        <v/>
      </c>
      <c r="CB267" s="551">
        <f ca="1">SUM(BT267:CA272)</f>
        <v>0</v>
      </c>
    </row>
    <row r="268" spans="1:80" ht="0.2" customHeight="1" x14ac:dyDescent="0.2">
      <c r="A268" s="172">
        <f ca="1">Ruimtestaat!A268</f>
        <v>2</v>
      </c>
      <c r="B268" s="557"/>
      <c r="C268" s="11">
        <v>204</v>
      </c>
      <c r="D268" s="309"/>
      <c r="E268" s="310"/>
      <c r="F268" s="311"/>
      <c r="G268" s="310"/>
      <c r="H268" s="310"/>
      <c r="I268" s="312"/>
      <c r="J268" s="312"/>
      <c r="K268" s="560"/>
      <c r="L268" s="552"/>
      <c r="M268" s="172" t="b">
        <f>IF(_xlfn.XLOOKUP(BB268,Tabel2[Locatiecode],Tabel2[Type locatie],"",0)="vaccin",TRUE,FALSE)</f>
        <v>0</v>
      </c>
      <c r="BB268" s="272" t="str">
        <f>IF(Ruimtestaat!BC268="","",Ruimtestaat!BC268)</f>
        <v/>
      </c>
      <c r="BC268" s="273">
        <f t="shared" si="8"/>
        <v>204</v>
      </c>
      <c r="BD268" s="274">
        <f ca="1">Ruimtestaat!D268*$BC268</f>
        <v>0</v>
      </c>
      <c r="BE268" s="275">
        <f ca="1">Ruimtestaat!E268*$BC268</f>
        <v>0</v>
      </c>
      <c r="BF268" s="275">
        <f ca="1">Ruimtestaat!F268*$BC268</f>
        <v>0</v>
      </c>
      <c r="BG268" s="275">
        <f ca="1">Ruimtestaat!G268*$BC268</f>
        <v>0</v>
      </c>
      <c r="BH268" s="275">
        <f ca="1">Ruimtestaat!H268*$BC268</f>
        <v>0</v>
      </c>
      <c r="BI268" s="276">
        <f ca="1">Ruimtestaat!I268*$BC268</f>
        <v>0</v>
      </c>
      <c r="BJ268" s="277">
        <f ca="1">Ruimtestaat!J268*$BC268</f>
        <v>0</v>
      </c>
      <c r="BK268" s="552"/>
      <c r="BR268" s="272" t="str">
        <f>IF(Ruimtestaat!BC268="","",Ruimtestaat!BC268)</f>
        <v/>
      </c>
      <c r="BS268" s="273">
        <f t="shared" si="9"/>
        <v>204</v>
      </c>
      <c r="BT268" s="274" t="str">
        <f ca="1">IF(BD268&gt;0,IF(ISNUMBER(Schoonmaaknormen!D268),Schoonmaaknormen!BD268/Schoonmaaknormen!D268,0),"")</f>
        <v/>
      </c>
      <c r="BU268" s="275" t="str">
        <f ca="1">IF(BE268&gt;0,IF(ISNUMBER(Schoonmaaknormen!E268),Schoonmaaknormen!BE268/Schoonmaaknormen!E268,0),"")</f>
        <v/>
      </c>
      <c r="BV268" s="275" t="str">
        <f ca="1">IF(BF268&gt;0,IF(ISNUMBER(Schoonmaaknormen!F268),Schoonmaaknormen!BF268/Schoonmaaknormen!F268,0),"")</f>
        <v/>
      </c>
      <c r="BW268" s="275" t="str">
        <f ca="1">IF(BG268&gt;0,IF(ISNUMBER(Schoonmaaknormen!G268),Schoonmaaknormen!BG268/Schoonmaaknormen!G268,0),"")</f>
        <v/>
      </c>
      <c r="BX268" s="275" t="str">
        <f ca="1">IF(BH268&gt;0,IF(ISNUMBER(Schoonmaaknormen!H268),Schoonmaaknormen!BH268/Schoonmaaknormen!H268,0),"")</f>
        <v/>
      </c>
      <c r="BY268" s="276" t="str">
        <f ca="1">IF(BI268&gt;0,IF(ISNUMBER(Schoonmaaknormen!I268),Schoonmaaknormen!BI268/Schoonmaaknormen!I268,0),"")</f>
        <v/>
      </c>
      <c r="BZ268" s="276" t="str">
        <f ca="1">IF(BJ268&gt;0,IF(ISNUMBER(Schoonmaaknormen!J268),Schoonmaaknormen!BJ268/Schoonmaaknormen!J268,0),"")</f>
        <v/>
      </c>
      <c r="CA268" s="548"/>
      <c r="CB268" s="552"/>
    </row>
    <row r="269" spans="1:80" ht="0.2" customHeight="1" x14ac:dyDescent="0.2">
      <c r="A269" s="172">
        <f ca="1">Ruimtestaat!A269</f>
        <v>2</v>
      </c>
      <c r="B269" s="557"/>
      <c r="C269" s="11">
        <v>156</v>
      </c>
      <c r="D269" s="309"/>
      <c r="E269" s="310"/>
      <c r="F269" s="311"/>
      <c r="G269" s="310"/>
      <c r="H269" s="310"/>
      <c r="I269" s="312"/>
      <c r="J269" s="312"/>
      <c r="K269" s="560"/>
      <c r="L269" s="552"/>
      <c r="M269" s="172" t="b">
        <f>IF(_xlfn.XLOOKUP(BB269,Tabel2[Locatiecode],Tabel2[Type locatie],"",0)="vaccin",TRUE,FALSE)</f>
        <v>0</v>
      </c>
      <c r="BB269" s="272" t="str">
        <f>IF(Ruimtestaat!BC269="","",Ruimtestaat!BC269)</f>
        <v/>
      </c>
      <c r="BC269" s="273">
        <f t="shared" si="8"/>
        <v>156</v>
      </c>
      <c r="BD269" s="274">
        <f ca="1">Ruimtestaat!D269*$BC269</f>
        <v>0</v>
      </c>
      <c r="BE269" s="275">
        <f ca="1">Ruimtestaat!E269*$BC269</f>
        <v>0</v>
      </c>
      <c r="BF269" s="275">
        <f ca="1">Ruimtestaat!F269*$BC269</f>
        <v>0</v>
      </c>
      <c r="BG269" s="275">
        <f ca="1">Ruimtestaat!G269*$BC269</f>
        <v>0</v>
      </c>
      <c r="BH269" s="275">
        <f ca="1">Ruimtestaat!H269*$BC269</f>
        <v>0</v>
      </c>
      <c r="BI269" s="276">
        <f ca="1">Ruimtestaat!I269*$BC269</f>
        <v>0</v>
      </c>
      <c r="BJ269" s="277">
        <f ca="1">Ruimtestaat!J269*$BC269</f>
        <v>0</v>
      </c>
      <c r="BK269" s="552"/>
      <c r="BR269" s="272" t="str">
        <f>IF(Ruimtestaat!BC269="","",Ruimtestaat!BC269)</f>
        <v/>
      </c>
      <c r="BS269" s="273">
        <f t="shared" si="9"/>
        <v>156</v>
      </c>
      <c r="BT269" s="274" t="str">
        <f ca="1">IF(BD269&gt;0,IF(ISNUMBER(Schoonmaaknormen!D269),Schoonmaaknormen!BD269/Schoonmaaknormen!D269,0),"")</f>
        <v/>
      </c>
      <c r="BU269" s="275" t="str">
        <f ca="1">IF(BE269&gt;0,IF(ISNUMBER(Schoonmaaknormen!E269),Schoonmaaknormen!BE269/Schoonmaaknormen!E269,0),"")</f>
        <v/>
      </c>
      <c r="BV269" s="275" t="str">
        <f ca="1">IF(BF269&gt;0,IF(ISNUMBER(Schoonmaaknormen!F269),Schoonmaaknormen!BF269/Schoonmaaknormen!F269,0),"")</f>
        <v/>
      </c>
      <c r="BW269" s="275" t="str">
        <f ca="1">IF(BG269&gt;0,IF(ISNUMBER(Schoonmaaknormen!G269),Schoonmaaknormen!BG269/Schoonmaaknormen!G269,0),"")</f>
        <v/>
      </c>
      <c r="BX269" s="275" t="str">
        <f ca="1">IF(BH269&gt;0,IF(ISNUMBER(Schoonmaaknormen!H269),Schoonmaaknormen!BH269/Schoonmaaknormen!H269,0),"")</f>
        <v/>
      </c>
      <c r="BY269" s="276" t="str">
        <f ca="1">IF(BI269&gt;0,IF(ISNUMBER(Schoonmaaknormen!I269),Schoonmaaknormen!BI269/Schoonmaaknormen!I269,0),"")</f>
        <v/>
      </c>
      <c r="BZ269" s="276" t="str">
        <f ca="1">IF(BJ269&gt;0,IF(ISNUMBER(Schoonmaaknormen!J269),Schoonmaaknormen!BJ269/Schoonmaaknormen!J269,0),"")</f>
        <v/>
      </c>
      <c r="CA269" s="548"/>
      <c r="CB269" s="552"/>
    </row>
    <row r="270" spans="1:80" ht="0.2" customHeight="1" x14ac:dyDescent="0.2">
      <c r="A270" s="172">
        <f ca="1">Ruimtestaat!A270</f>
        <v>2</v>
      </c>
      <c r="B270" s="557"/>
      <c r="C270" s="11">
        <v>104</v>
      </c>
      <c r="D270" s="309"/>
      <c r="E270" s="310"/>
      <c r="F270" s="311"/>
      <c r="G270" s="310"/>
      <c r="H270" s="310"/>
      <c r="I270" s="312"/>
      <c r="J270" s="312"/>
      <c r="K270" s="561"/>
      <c r="L270" s="553"/>
      <c r="M270" s="172" t="b">
        <f>IF(_xlfn.XLOOKUP(BB270,Tabel2[Locatiecode],Tabel2[Type locatie],"",0)="vaccin",TRUE,FALSE)</f>
        <v>0</v>
      </c>
      <c r="BB270" s="278" t="str">
        <f>IF(Ruimtestaat!BC270="","",Ruimtestaat!BC270)</f>
        <v/>
      </c>
      <c r="BC270" s="279">
        <f t="shared" si="8"/>
        <v>104</v>
      </c>
      <c r="BD270" s="280">
        <f ca="1">Ruimtestaat!D270*$BC270</f>
        <v>0</v>
      </c>
      <c r="BE270" s="281">
        <f ca="1">Ruimtestaat!E270*$BC270</f>
        <v>0</v>
      </c>
      <c r="BF270" s="281">
        <f ca="1">Ruimtestaat!F270*$BC270</f>
        <v>0</v>
      </c>
      <c r="BG270" s="281">
        <f ca="1">Ruimtestaat!G270*$BC270</f>
        <v>0</v>
      </c>
      <c r="BH270" s="281">
        <f ca="1">Ruimtestaat!H270*$BC270</f>
        <v>0</v>
      </c>
      <c r="BI270" s="282">
        <f ca="1">Ruimtestaat!I270*$BC270</f>
        <v>0</v>
      </c>
      <c r="BJ270" s="283">
        <f ca="1">Ruimtestaat!J270*$BC270</f>
        <v>0</v>
      </c>
      <c r="BK270" s="553"/>
      <c r="BR270" s="278" t="str">
        <f>IF(Ruimtestaat!BC270="","",Ruimtestaat!BC270)</f>
        <v/>
      </c>
      <c r="BS270" s="313">
        <f t="shared" si="9"/>
        <v>104</v>
      </c>
      <c r="BT270" s="280" t="str">
        <f ca="1">IF(BD270&gt;0,IF(ISNUMBER(Schoonmaaknormen!D270),Schoonmaaknormen!BD270/Schoonmaaknormen!D270,0),"")</f>
        <v/>
      </c>
      <c r="BU270" s="314" t="str">
        <f ca="1">IF(BE270&gt;0,IF(ISNUMBER(Schoonmaaknormen!E270),Schoonmaaknormen!BE270/Schoonmaaknormen!E270,0),"")</f>
        <v/>
      </c>
      <c r="BV270" s="314" t="str">
        <f ca="1">IF(BF270&gt;0,IF(ISNUMBER(Schoonmaaknormen!F270),Schoonmaaknormen!BF270/Schoonmaaknormen!F270,0),"")</f>
        <v/>
      </c>
      <c r="BW270" s="314" t="str">
        <f ca="1">IF(BG270&gt;0,IF(ISNUMBER(Schoonmaaknormen!G270),Schoonmaaknormen!BG270/Schoonmaaknormen!G270,0),"")</f>
        <v/>
      </c>
      <c r="BX270" s="314" t="str">
        <f ca="1">IF(BH270&gt;0,IF(ISNUMBER(Schoonmaaknormen!H270),Schoonmaaknormen!BH270/Schoonmaaknormen!H270,0),"")</f>
        <v/>
      </c>
      <c r="BY270" s="282" t="str">
        <f ca="1">IF(BI270&gt;0,IF(ISNUMBER(Schoonmaaknormen!I270),Schoonmaaknormen!BI270/Schoonmaaknormen!I270,0),"")</f>
        <v/>
      </c>
      <c r="BZ270" s="282" t="str">
        <f ca="1">IF(BJ270&gt;0,IF(ISNUMBER(Schoonmaaknormen!J270),Schoonmaaknormen!BJ270/Schoonmaaknormen!J270,0),"")</f>
        <v/>
      </c>
      <c r="CA270" s="549"/>
      <c r="CB270" s="553"/>
    </row>
    <row r="271" spans="1:80" ht="0.2" customHeight="1" x14ac:dyDescent="0.2">
      <c r="A271" s="172">
        <f ca="1">Ruimtestaat!A271</f>
        <v>2</v>
      </c>
      <c r="B271" s="557"/>
      <c r="C271" s="11">
        <v>52</v>
      </c>
      <c r="D271" s="309"/>
      <c r="E271" s="310"/>
      <c r="F271" s="311"/>
      <c r="G271" s="310"/>
      <c r="H271" s="310"/>
      <c r="I271" s="312"/>
      <c r="J271" s="312"/>
      <c r="K271" s="561"/>
      <c r="L271" s="553"/>
      <c r="M271" s="172" t="b">
        <f>IF(_xlfn.XLOOKUP(BB271,Tabel2[Locatiecode],Tabel2[Type locatie],"",0)="vaccin",TRUE,FALSE)</f>
        <v>0</v>
      </c>
      <c r="BB271" s="284" t="str">
        <f>IF(Ruimtestaat!BC271="","",Ruimtestaat!BC271)</f>
        <v/>
      </c>
      <c r="BC271" s="285">
        <f t="shared" si="8"/>
        <v>52</v>
      </c>
      <c r="BD271" s="286">
        <f ca="1">Ruimtestaat!D271*$BC271</f>
        <v>0</v>
      </c>
      <c r="BE271" s="287">
        <f ca="1">Ruimtestaat!E271*$BC271</f>
        <v>0</v>
      </c>
      <c r="BF271" s="287">
        <f ca="1">Ruimtestaat!F271*$BC271</f>
        <v>0</v>
      </c>
      <c r="BG271" s="287">
        <f ca="1">Ruimtestaat!G271*$BC271</f>
        <v>0</v>
      </c>
      <c r="BH271" s="287">
        <f ca="1">Ruimtestaat!H271*$BC271</f>
        <v>0</v>
      </c>
      <c r="BI271" s="288">
        <f ca="1">Ruimtestaat!I271*$BC271</f>
        <v>0</v>
      </c>
      <c r="BJ271" s="289">
        <f ca="1">Ruimtestaat!J271*$BC271</f>
        <v>0</v>
      </c>
      <c r="BK271" s="553"/>
      <c r="BR271" s="284" t="str">
        <f>IF(Ruimtestaat!BC271="","",Ruimtestaat!BC271)</f>
        <v/>
      </c>
      <c r="BS271" s="285">
        <f t="shared" si="9"/>
        <v>52</v>
      </c>
      <c r="BT271" s="286" t="str">
        <f ca="1">IF(BD271&gt;0,IF(ISNUMBER(Schoonmaaknormen!D271),Schoonmaaknormen!BD271/Schoonmaaknormen!D271,0),"")</f>
        <v/>
      </c>
      <c r="BU271" s="287" t="str">
        <f ca="1">IF(BE271&gt;0,IF(ISNUMBER(Schoonmaaknormen!E271),Schoonmaaknormen!BE271/Schoonmaaknormen!E271,0),"")</f>
        <v/>
      </c>
      <c r="BV271" s="287" t="str">
        <f ca="1">IF(BF271&gt;0,IF(ISNUMBER(Schoonmaaknormen!F271),Schoonmaaknormen!BF271/Schoonmaaknormen!F271,0),"")</f>
        <v/>
      </c>
      <c r="BW271" s="287" t="str">
        <f ca="1">IF(BG271&gt;0,IF(ISNUMBER(Schoonmaaknormen!G271),Schoonmaaknormen!BG271/Schoonmaaknormen!G271,0),"")</f>
        <v/>
      </c>
      <c r="BX271" s="287" t="str">
        <f ca="1">IF(BH271&gt;0,IF(ISNUMBER(Schoonmaaknormen!H271),Schoonmaaknormen!BH271/Schoonmaaknormen!H271,0),"")</f>
        <v/>
      </c>
      <c r="BY271" s="288" t="str">
        <f ca="1">IF(BI271&gt;0,IF(ISNUMBER(Schoonmaaknormen!I271),Schoonmaaknormen!BI271/Schoonmaaknormen!I271,0),"")</f>
        <v/>
      </c>
      <c r="BZ271" s="288" t="str">
        <f ca="1">IF(BJ271&gt;0,IF(ISNUMBER(Schoonmaaknormen!J271),Schoonmaaknormen!BJ271/Schoonmaaknormen!J271,0),"")</f>
        <v/>
      </c>
      <c r="CA271" s="549"/>
      <c r="CB271" s="553"/>
    </row>
    <row r="272" spans="1:80" ht="0.2" customHeight="1" x14ac:dyDescent="0.2">
      <c r="A272" s="172">
        <f ca="1">Ruimtestaat!A272</f>
        <v>2</v>
      </c>
      <c r="B272" s="558"/>
      <c r="C272" s="290">
        <v>4</v>
      </c>
      <c r="D272" s="186"/>
      <c r="E272" s="187"/>
      <c r="F272" s="188"/>
      <c r="G272" s="187"/>
      <c r="H272" s="187"/>
      <c r="I272" s="189"/>
      <c r="J272" s="189"/>
      <c r="K272" s="562"/>
      <c r="L272" s="554"/>
      <c r="M272" s="172" t="b">
        <f>IF(_xlfn.XLOOKUP(BB272,Tabel2[Locatiecode],Tabel2[Type locatie],"",0)="vaccin",TRUE,FALSE)</f>
        <v>0</v>
      </c>
      <c r="BB272" s="291" t="str">
        <f>IF(Ruimtestaat!BC272="","",Ruimtestaat!BC272)</f>
        <v/>
      </c>
      <c r="BC272" s="292">
        <f t="shared" si="8"/>
        <v>4</v>
      </c>
      <c r="BD272" s="293">
        <f ca="1">Ruimtestaat!D272*$BC272</f>
        <v>0</v>
      </c>
      <c r="BE272" s="294">
        <f ca="1">Ruimtestaat!E272*$BC272</f>
        <v>0</v>
      </c>
      <c r="BF272" s="294">
        <f ca="1">Ruimtestaat!F272*$BC272</f>
        <v>0</v>
      </c>
      <c r="BG272" s="294">
        <f ca="1">Ruimtestaat!G272*$BC272</f>
        <v>0</v>
      </c>
      <c r="BH272" s="294">
        <f ca="1">Ruimtestaat!H272*$BC272</f>
        <v>0</v>
      </c>
      <c r="BI272" s="295">
        <f ca="1">Ruimtestaat!I272*$BC272</f>
        <v>0</v>
      </c>
      <c r="BJ272" s="296">
        <f ca="1">Ruimtestaat!J272*$BC272</f>
        <v>0</v>
      </c>
      <c r="BK272" s="554"/>
      <c r="BR272" s="291" t="str">
        <f>IF(Ruimtestaat!BC272="","",Ruimtestaat!BC272)</f>
        <v/>
      </c>
      <c r="BS272" s="292">
        <f t="shared" si="9"/>
        <v>4</v>
      </c>
      <c r="BT272" s="293" t="str">
        <f ca="1">IF(BD272&gt;0,IF(ISNUMBER(Schoonmaaknormen!D272),Schoonmaaknormen!BD272/Schoonmaaknormen!D272,0),"")</f>
        <v/>
      </c>
      <c r="BU272" s="294" t="str">
        <f ca="1">IF(BE272&gt;0,IF(ISNUMBER(Schoonmaaknormen!E272),Schoonmaaknormen!BE272/Schoonmaaknormen!E272,0),"")</f>
        <v/>
      </c>
      <c r="BV272" s="294" t="str">
        <f ca="1">IF(BF272&gt;0,IF(ISNUMBER(Schoonmaaknormen!F272),Schoonmaaknormen!BF272/Schoonmaaknormen!F272,0),"")</f>
        <v/>
      </c>
      <c r="BW272" s="294" t="str">
        <f ca="1">IF(BG272&gt;0,IF(ISNUMBER(Schoonmaaknormen!G272),Schoonmaaknormen!BG272/Schoonmaaknormen!G272,0),"")</f>
        <v/>
      </c>
      <c r="BX272" s="294" t="str">
        <f ca="1">IF(BH272&gt;0,IF(ISNUMBER(Schoonmaaknormen!H272),Schoonmaaknormen!BH272/Schoonmaaknormen!H272,0),"")</f>
        <v/>
      </c>
      <c r="BY272" s="295" t="str">
        <f ca="1">IF(BI272&gt;0,IF(ISNUMBER(Schoonmaaknormen!I272),Schoonmaaknormen!BI272/Schoonmaaknormen!I272,0),"")</f>
        <v/>
      </c>
      <c r="BZ272" s="295" t="str">
        <f ca="1">IF(BJ272&gt;0,IF(ISNUMBER(Schoonmaaknormen!J272),Schoonmaaknormen!BJ272/Schoonmaaknormen!J272,0),"")</f>
        <v/>
      </c>
      <c r="CA272" s="555"/>
      <c r="CB272" s="554"/>
    </row>
    <row r="273" spans="1:80" ht="0.2" customHeight="1" x14ac:dyDescent="0.2">
      <c r="A273" s="172">
        <f ca="1">Ruimtestaat!A273</f>
        <v>2</v>
      </c>
      <c r="B273" s="556" t="str">
        <f>BB273</f>
        <v/>
      </c>
      <c r="C273" s="298">
        <v>255</v>
      </c>
      <c r="D273" s="299"/>
      <c r="E273" s="300"/>
      <c r="F273" s="301"/>
      <c r="G273" s="300"/>
      <c r="H273" s="300"/>
      <c r="I273" s="302"/>
      <c r="J273" s="302"/>
      <c r="K273" s="559"/>
      <c r="L273" s="551" t="str" cm="1">
        <f t="array" aca="1" ref="L273" ca="1">_xlfn.IFS(A273=2,"",COUNTBLANK(D273:J278)=COUNTIF(Ruimtestaat!D273:J278,"&lt;=0"),BK273/CB273,TRUE,"")</f>
        <v/>
      </c>
      <c r="M273" s="172" t="b">
        <f>IF(_xlfn.XLOOKUP(BB273,Tabel2[Locatiecode],Tabel2[Type locatie],"",0)="vaccin",TRUE,FALSE)</f>
        <v>0</v>
      </c>
      <c r="BB273" s="303" t="str">
        <f>IF(Ruimtestaat!BC273="","",Ruimtestaat!BC273)</f>
        <v/>
      </c>
      <c r="BC273" s="304">
        <f t="shared" si="8"/>
        <v>255</v>
      </c>
      <c r="BD273" s="305">
        <f ca="1">Ruimtestaat!D273*$BC273</f>
        <v>0</v>
      </c>
      <c r="BE273" s="306">
        <f ca="1">Ruimtestaat!E273*$BC273</f>
        <v>0</v>
      </c>
      <c r="BF273" s="306">
        <f ca="1">Ruimtestaat!F273*$BC273</f>
        <v>0</v>
      </c>
      <c r="BG273" s="306">
        <f ca="1">Ruimtestaat!G273*$BC273</f>
        <v>0</v>
      </c>
      <c r="BH273" s="306">
        <f ca="1">Ruimtestaat!H273*$BC273</f>
        <v>0</v>
      </c>
      <c r="BI273" s="307">
        <f ca="1">Ruimtestaat!I273*$BC273</f>
        <v>0</v>
      </c>
      <c r="BJ273" s="308">
        <f ca="1">Ruimtestaat!J273*$BC273</f>
        <v>0</v>
      </c>
      <c r="BK273" s="552">
        <f ca="1">SUM(BD273:BJ278)</f>
        <v>0</v>
      </c>
      <c r="BR273" s="303" t="str">
        <f>IF(Ruimtestaat!BC273="","",Ruimtestaat!BC273)</f>
        <v/>
      </c>
      <c r="BS273" s="304">
        <f t="shared" si="9"/>
        <v>255</v>
      </c>
      <c r="BT273" s="305" t="str">
        <f ca="1">IF(BD273&gt;0,IF(ISNUMBER(Schoonmaaknormen!D273),Schoonmaaknormen!BD273/Schoonmaaknormen!D273,0),"")</f>
        <v/>
      </c>
      <c r="BU273" s="306" t="str">
        <f ca="1">IF(BE273&gt;0,IF(ISNUMBER(Schoonmaaknormen!E273),Schoonmaaknormen!BE273/Schoonmaaknormen!E273,0),"")</f>
        <v/>
      </c>
      <c r="BV273" s="306" t="str">
        <f ca="1">IF(BF273&gt;0,IF(ISNUMBER(Schoonmaaknormen!F273),Schoonmaaknormen!BF273/Schoonmaaknormen!F273,0),"")</f>
        <v/>
      </c>
      <c r="BW273" s="306" t="str">
        <f ca="1">IF(BG273&gt;0,IF(ISNUMBER(Schoonmaaknormen!G273),Schoonmaaknormen!BG273/Schoonmaaknormen!G273,0),"")</f>
        <v/>
      </c>
      <c r="BX273" s="306" t="str">
        <f ca="1">IF(BH273&gt;0,IF(ISNUMBER(Schoonmaaknormen!H273),Schoonmaaknormen!BH273/Schoonmaaknormen!H273,0),"")</f>
        <v/>
      </c>
      <c r="BY273" s="315" t="str">
        <f ca="1">IF(BI273&gt;0,IF(ISNUMBER(Schoonmaaknormen!I273),Schoonmaaknormen!BI273/Schoonmaaknormen!I273,0),"")</f>
        <v/>
      </c>
      <c r="BZ273" s="315" t="str">
        <f ca="1">IF(BJ273&gt;0,IF(ISNUMBER(Schoonmaaknormen!J273),Schoonmaaknormen!BJ273/Schoonmaaknormen!J273,0),"")</f>
        <v/>
      </c>
      <c r="CA273" s="547" t="str" cm="1">
        <f t="array" ref="CA273">IF(ISNUMBER(K273),IF(SUM(BT273:BZ278)/LARGE(_xlfn._xlws.FILTER(Ruimtestaat!BD:BD,Ruimtestaat!BC:BC=BR273),1)&lt;K273,K273*LARGE(_xlfn._xlws.FILTER(Ruimtestaat!BD:BD,Ruimtestaat!BC:BC=BR273),1)-SUM(BT273:BZ278),0),"")</f>
        <v/>
      </c>
      <c r="CB273" s="551">
        <f ca="1">SUM(BT273:CA278)</f>
        <v>0</v>
      </c>
    </row>
    <row r="274" spans="1:80" ht="0.2" customHeight="1" x14ac:dyDescent="0.2">
      <c r="A274" s="172">
        <f ca="1">Ruimtestaat!A274</f>
        <v>2</v>
      </c>
      <c r="B274" s="557"/>
      <c r="C274" s="11">
        <v>204</v>
      </c>
      <c r="D274" s="309"/>
      <c r="E274" s="310"/>
      <c r="F274" s="311"/>
      <c r="G274" s="310"/>
      <c r="H274" s="310"/>
      <c r="I274" s="312"/>
      <c r="J274" s="312"/>
      <c r="K274" s="560"/>
      <c r="L274" s="552"/>
      <c r="M274" s="172" t="b">
        <f>IF(_xlfn.XLOOKUP(BB274,Tabel2[Locatiecode],Tabel2[Type locatie],"",0)="vaccin",TRUE,FALSE)</f>
        <v>0</v>
      </c>
      <c r="BB274" s="272" t="str">
        <f>IF(Ruimtestaat!BC274="","",Ruimtestaat!BC274)</f>
        <v/>
      </c>
      <c r="BC274" s="273">
        <f t="shared" si="8"/>
        <v>204</v>
      </c>
      <c r="BD274" s="274">
        <f ca="1">Ruimtestaat!D274*$BC274</f>
        <v>0</v>
      </c>
      <c r="BE274" s="275">
        <f ca="1">Ruimtestaat!E274*$BC274</f>
        <v>0</v>
      </c>
      <c r="BF274" s="275">
        <f ca="1">Ruimtestaat!F274*$BC274</f>
        <v>0</v>
      </c>
      <c r="BG274" s="275">
        <f ca="1">Ruimtestaat!G274*$BC274</f>
        <v>0</v>
      </c>
      <c r="BH274" s="275">
        <f ca="1">Ruimtestaat!H274*$BC274</f>
        <v>0</v>
      </c>
      <c r="BI274" s="276">
        <f ca="1">Ruimtestaat!I274*$BC274</f>
        <v>0</v>
      </c>
      <c r="BJ274" s="277">
        <f ca="1">Ruimtestaat!J274*$BC274</f>
        <v>0</v>
      </c>
      <c r="BK274" s="552"/>
      <c r="BR274" s="272" t="str">
        <f>IF(Ruimtestaat!BC274="","",Ruimtestaat!BC274)</f>
        <v/>
      </c>
      <c r="BS274" s="273">
        <f t="shared" si="9"/>
        <v>204</v>
      </c>
      <c r="BT274" s="274" t="str">
        <f ca="1">IF(BD274&gt;0,IF(ISNUMBER(Schoonmaaknormen!D274),Schoonmaaknormen!BD274/Schoonmaaknormen!D274,0),"")</f>
        <v/>
      </c>
      <c r="BU274" s="275" t="str">
        <f ca="1">IF(BE274&gt;0,IF(ISNUMBER(Schoonmaaknormen!E274),Schoonmaaknormen!BE274/Schoonmaaknormen!E274,0),"")</f>
        <v/>
      </c>
      <c r="BV274" s="275" t="str">
        <f ca="1">IF(BF274&gt;0,IF(ISNUMBER(Schoonmaaknormen!F274),Schoonmaaknormen!BF274/Schoonmaaknormen!F274,0),"")</f>
        <v/>
      </c>
      <c r="BW274" s="275" t="str">
        <f ca="1">IF(BG274&gt;0,IF(ISNUMBER(Schoonmaaknormen!G274),Schoonmaaknormen!BG274/Schoonmaaknormen!G274,0),"")</f>
        <v/>
      </c>
      <c r="BX274" s="275" t="str">
        <f ca="1">IF(BH274&gt;0,IF(ISNUMBER(Schoonmaaknormen!H274),Schoonmaaknormen!BH274/Schoonmaaknormen!H274,0),"")</f>
        <v/>
      </c>
      <c r="BY274" s="276" t="str">
        <f ca="1">IF(BI274&gt;0,IF(ISNUMBER(Schoonmaaknormen!I274),Schoonmaaknormen!BI274/Schoonmaaknormen!I274,0),"")</f>
        <v/>
      </c>
      <c r="BZ274" s="276" t="str">
        <f ca="1">IF(BJ274&gt;0,IF(ISNUMBER(Schoonmaaknormen!J274),Schoonmaaknormen!BJ274/Schoonmaaknormen!J274,0),"")</f>
        <v/>
      </c>
      <c r="CA274" s="548"/>
      <c r="CB274" s="552"/>
    </row>
    <row r="275" spans="1:80" ht="0.2" customHeight="1" x14ac:dyDescent="0.2">
      <c r="A275" s="172">
        <f ca="1">Ruimtestaat!A275</f>
        <v>2</v>
      </c>
      <c r="B275" s="557"/>
      <c r="C275" s="11">
        <v>156</v>
      </c>
      <c r="D275" s="309"/>
      <c r="E275" s="310"/>
      <c r="F275" s="311"/>
      <c r="G275" s="310"/>
      <c r="H275" s="310"/>
      <c r="I275" s="312"/>
      <c r="J275" s="312"/>
      <c r="K275" s="560"/>
      <c r="L275" s="552"/>
      <c r="M275" s="172" t="b">
        <f>IF(_xlfn.XLOOKUP(BB275,Tabel2[Locatiecode],Tabel2[Type locatie],"",0)="vaccin",TRUE,FALSE)</f>
        <v>0</v>
      </c>
      <c r="BB275" s="272" t="str">
        <f>IF(Ruimtestaat!BC275="","",Ruimtestaat!BC275)</f>
        <v/>
      </c>
      <c r="BC275" s="273">
        <f t="shared" si="8"/>
        <v>156</v>
      </c>
      <c r="BD275" s="274">
        <f ca="1">Ruimtestaat!D275*$BC275</f>
        <v>0</v>
      </c>
      <c r="BE275" s="275">
        <f ca="1">Ruimtestaat!E275*$BC275</f>
        <v>0</v>
      </c>
      <c r="BF275" s="275">
        <f ca="1">Ruimtestaat!F275*$BC275</f>
        <v>0</v>
      </c>
      <c r="BG275" s="275">
        <f ca="1">Ruimtestaat!G275*$BC275</f>
        <v>0</v>
      </c>
      <c r="BH275" s="275">
        <f ca="1">Ruimtestaat!H275*$BC275</f>
        <v>0</v>
      </c>
      <c r="BI275" s="276">
        <f ca="1">Ruimtestaat!I275*$BC275</f>
        <v>0</v>
      </c>
      <c r="BJ275" s="277">
        <f ca="1">Ruimtestaat!J275*$BC275</f>
        <v>0</v>
      </c>
      <c r="BK275" s="552"/>
      <c r="BR275" s="272" t="str">
        <f>IF(Ruimtestaat!BC275="","",Ruimtestaat!BC275)</f>
        <v/>
      </c>
      <c r="BS275" s="273">
        <f t="shared" si="9"/>
        <v>156</v>
      </c>
      <c r="BT275" s="274" t="str">
        <f ca="1">IF(BD275&gt;0,IF(ISNUMBER(Schoonmaaknormen!D275),Schoonmaaknormen!BD275/Schoonmaaknormen!D275,0),"")</f>
        <v/>
      </c>
      <c r="BU275" s="275" t="str">
        <f ca="1">IF(BE275&gt;0,IF(ISNUMBER(Schoonmaaknormen!E275),Schoonmaaknormen!BE275/Schoonmaaknormen!E275,0),"")</f>
        <v/>
      </c>
      <c r="BV275" s="275" t="str">
        <f ca="1">IF(BF275&gt;0,IF(ISNUMBER(Schoonmaaknormen!F275),Schoonmaaknormen!BF275/Schoonmaaknormen!F275,0),"")</f>
        <v/>
      </c>
      <c r="BW275" s="275" t="str">
        <f ca="1">IF(BG275&gt;0,IF(ISNUMBER(Schoonmaaknormen!G275),Schoonmaaknormen!BG275/Schoonmaaknormen!G275,0),"")</f>
        <v/>
      </c>
      <c r="BX275" s="275" t="str">
        <f ca="1">IF(BH275&gt;0,IF(ISNUMBER(Schoonmaaknormen!H275),Schoonmaaknormen!BH275/Schoonmaaknormen!H275,0),"")</f>
        <v/>
      </c>
      <c r="BY275" s="276" t="str">
        <f ca="1">IF(BI275&gt;0,IF(ISNUMBER(Schoonmaaknormen!I275),Schoonmaaknormen!BI275/Schoonmaaknormen!I275,0),"")</f>
        <v/>
      </c>
      <c r="BZ275" s="276" t="str">
        <f ca="1">IF(BJ275&gt;0,IF(ISNUMBER(Schoonmaaknormen!J275),Schoonmaaknormen!BJ275/Schoonmaaknormen!J275,0),"")</f>
        <v/>
      </c>
      <c r="CA275" s="548"/>
      <c r="CB275" s="552"/>
    </row>
    <row r="276" spans="1:80" ht="0.2" customHeight="1" x14ac:dyDescent="0.2">
      <c r="A276" s="172">
        <f ca="1">Ruimtestaat!A276</f>
        <v>2</v>
      </c>
      <c r="B276" s="557"/>
      <c r="C276" s="11">
        <v>104</v>
      </c>
      <c r="D276" s="309"/>
      <c r="E276" s="310"/>
      <c r="F276" s="311"/>
      <c r="G276" s="310"/>
      <c r="H276" s="310"/>
      <c r="I276" s="312"/>
      <c r="J276" s="312"/>
      <c r="K276" s="561"/>
      <c r="L276" s="553"/>
      <c r="M276" s="172" t="b">
        <f>IF(_xlfn.XLOOKUP(BB276,Tabel2[Locatiecode],Tabel2[Type locatie],"",0)="vaccin",TRUE,FALSE)</f>
        <v>0</v>
      </c>
      <c r="BB276" s="278" t="str">
        <f>IF(Ruimtestaat!BC276="","",Ruimtestaat!BC276)</f>
        <v/>
      </c>
      <c r="BC276" s="279">
        <f t="shared" si="8"/>
        <v>104</v>
      </c>
      <c r="BD276" s="280">
        <f ca="1">Ruimtestaat!D276*$BC276</f>
        <v>0</v>
      </c>
      <c r="BE276" s="281">
        <f ca="1">Ruimtestaat!E276*$BC276</f>
        <v>0</v>
      </c>
      <c r="BF276" s="281">
        <f ca="1">Ruimtestaat!F276*$BC276</f>
        <v>0</v>
      </c>
      <c r="BG276" s="281">
        <f ca="1">Ruimtestaat!G276*$BC276</f>
        <v>0</v>
      </c>
      <c r="BH276" s="281">
        <f ca="1">Ruimtestaat!H276*$BC276</f>
        <v>0</v>
      </c>
      <c r="BI276" s="282">
        <f ca="1">Ruimtestaat!I276*$BC276</f>
        <v>0</v>
      </c>
      <c r="BJ276" s="283">
        <f ca="1">Ruimtestaat!J276*$BC276</f>
        <v>0</v>
      </c>
      <c r="BK276" s="553"/>
      <c r="BR276" s="278" t="str">
        <f>IF(Ruimtestaat!BC276="","",Ruimtestaat!BC276)</f>
        <v/>
      </c>
      <c r="BS276" s="313">
        <f t="shared" si="9"/>
        <v>104</v>
      </c>
      <c r="BT276" s="280" t="str">
        <f ca="1">IF(BD276&gt;0,IF(ISNUMBER(Schoonmaaknormen!D276),Schoonmaaknormen!BD276/Schoonmaaknormen!D276,0),"")</f>
        <v/>
      </c>
      <c r="BU276" s="314" t="str">
        <f ca="1">IF(BE276&gt;0,IF(ISNUMBER(Schoonmaaknormen!E276),Schoonmaaknormen!BE276/Schoonmaaknormen!E276,0),"")</f>
        <v/>
      </c>
      <c r="BV276" s="314" t="str">
        <f ca="1">IF(BF276&gt;0,IF(ISNUMBER(Schoonmaaknormen!F276),Schoonmaaknormen!BF276/Schoonmaaknormen!F276,0),"")</f>
        <v/>
      </c>
      <c r="BW276" s="314" t="str">
        <f ca="1">IF(BG276&gt;0,IF(ISNUMBER(Schoonmaaknormen!G276),Schoonmaaknormen!BG276/Schoonmaaknormen!G276,0),"")</f>
        <v/>
      </c>
      <c r="BX276" s="314" t="str">
        <f ca="1">IF(BH276&gt;0,IF(ISNUMBER(Schoonmaaknormen!H276),Schoonmaaknormen!BH276/Schoonmaaknormen!H276,0),"")</f>
        <v/>
      </c>
      <c r="BY276" s="282" t="str">
        <f ca="1">IF(BI276&gt;0,IF(ISNUMBER(Schoonmaaknormen!I276),Schoonmaaknormen!BI276/Schoonmaaknormen!I276,0),"")</f>
        <v/>
      </c>
      <c r="BZ276" s="282" t="str">
        <f ca="1">IF(BJ276&gt;0,IF(ISNUMBER(Schoonmaaknormen!J276),Schoonmaaknormen!BJ276/Schoonmaaknormen!J276,0),"")</f>
        <v/>
      </c>
      <c r="CA276" s="549"/>
      <c r="CB276" s="553"/>
    </row>
    <row r="277" spans="1:80" ht="0.2" customHeight="1" x14ac:dyDescent="0.2">
      <c r="A277" s="172">
        <f ca="1">Ruimtestaat!A277</f>
        <v>2</v>
      </c>
      <c r="B277" s="557"/>
      <c r="C277" s="11">
        <v>52</v>
      </c>
      <c r="D277" s="309"/>
      <c r="E277" s="310"/>
      <c r="F277" s="311"/>
      <c r="G277" s="310"/>
      <c r="H277" s="310"/>
      <c r="I277" s="312"/>
      <c r="J277" s="312"/>
      <c r="K277" s="561"/>
      <c r="L277" s="553"/>
      <c r="M277" s="172" t="b">
        <f>IF(_xlfn.XLOOKUP(BB277,Tabel2[Locatiecode],Tabel2[Type locatie],"",0)="vaccin",TRUE,FALSE)</f>
        <v>0</v>
      </c>
      <c r="BB277" s="284" t="str">
        <f>IF(Ruimtestaat!BC277="","",Ruimtestaat!BC277)</f>
        <v/>
      </c>
      <c r="BC277" s="285">
        <f t="shared" si="8"/>
        <v>52</v>
      </c>
      <c r="BD277" s="286">
        <f ca="1">Ruimtestaat!D277*$BC277</f>
        <v>0</v>
      </c>
      <c r="BE277" s="287">
        <f ca="1">Ruimtestaat!E277*$BC277</f>
        <v>0</v>
      </c>
      <c r="BF277" s="287">
        <f ca="1">Ruimtestaat!F277*$BC277</f>
        <v>0</v>
      </c>
      <c r="BG277" s="287">
        <f ca="1">Ruimtestaat!G277*$BC277</f>
        <v>0</v>
      </c>
      <c r="BH277" s="287">
        <f ca="1">Ruimtestaat!H277*$BC277</f>
        <v>0</v>
      </c>
      <c r="BI277" s="288">
        <f ca="1">Ruimtestaat!I277*$BC277</f>
        <v>0</v>
      </c>
      <c r="BJ277" s="289">
        <f ca="1">Ruimtestaat!J277*$BC277</f>
        <v>0</v>
      </c>
      <c r="BK277" s="553"/>
      <c r="BR277" s="284" t="str">
        <f>IF(Ruimtestaat!BC277="","",Ruimtestaat!BC277)</f>
        <v/>
      </c>
      <c r="BS277" s="285">
        <f t="shared" si="9"/>
        <v>52</v>
      </c>
      <c r="BT277" s="286" t="str">
        <f ca="1">IF(BD277&gt;0,IF(ISNUMBER(Schoonmaaknormen!D277),Schoonmaaknormen!BD277/Schoonmaaknormen!D277,0),"")</f>
        <v/>
      </c>
      <c r="BU277" s="287" t="str">
        <f ca="1">IF(BE277&gt;0,IF(ISNUMBER(Schoonmaaknormen!E277),Schoonmaaknormen!BE277/Schoonmaaknormen!E277,0),"")</f>
        <v/>
      </c>
      <c r="BV277" s="287" t="str">
        <f ca="1">IF(BF277&gt;0,IF(ISNUMBER(Schoonmaaknormen!F277),Schoonmaaknormen!BF277/Schoonmaaknormen!F277,0),"")</f>
        <v/>
      </c>
      <c r="BW277" s="287" t="str">
        <f ca="1">IF(BG277&gt;0,IF(ISNUMBER(Schoonmaaknormen!G277),Schoonmaaknormen!BG277/Schoonmaaknormen!G277,0),"")</f>
        <v/>
      </c>
      <c r="BX277" s="287" t="str">
        <f ca="1">IF(BH277&gt;0,IF(ISNUMBER(Schoonmaaknormen!H277),Schoonmaaknormen!BH277/Schoonmaaknormen!H277,0),"")</f>
        <v/>
      </c>
      <c r="BY277" s="288" t="str">
        <f ca="1">IF(BI277&gt;0,IF(ISNUMBER(Schoonmaaknormen!I277),Schoonmaaknormen!BI277/Schoonmaaknormen!I277,0),"")</f>
        <v/>
      </c>
      <c r="BZ277" s="288" t="str">
        <f ca="1">IF(BJ277&gt;0,IF(ISNUMBER(Schoonmaaknormen!J277),Schoonmaaknormen!BJ277/Schoonmaaknormen!J277,0),"")</f>
        <v/>
      </c>
      <c r="CA277" s="549"/>
      <c r="CB277" s="553"/>
    </row>
    <row r="278" spans="1:80" ht="0.2" customHeight="1" x14ac:dyDescent="0.2">
      <c r="A278" s="172">
        <f ca="1">Ruimtestaat!A278</f>
        <v>2</v>
      </c>
      <c r="B278" s="558"/>
      <c r="C278" s="290">
        <v>4</v>
      </c>
      <c r="D278" s="186"/>
      <c r="E278" s="187"/>
      <c r="F278" s="188"/>
      <c r="G278" s="187"/>
      <c r="H278" s="187"/>
      <c r="I278" s="189"/>
      <c r="J278" s="189"/>
      <c r="K278" s="562"/>
      <c r="L278" s="554"/>
      <c r="M278" s="172" t="b">
        <f>IF(_xlfn.XLOOKUP(BB278,Tabel2[Locatiecode],Tabel2[Type locatie],"",0)="vaccin",TRUE,FALSE)</f>
        <v>0</v>
      </c>
      <c r="BB278" s="291" t="str">
        <f>IF(Ruimtestaat!BC278="","",Ruimtestaat!BC278)</f>
        <v/>
      </c>
      <c r="BC278" s="292">
        <f t="shared" si="8"/>
        <v>4</v>
      </c>
      <c r="BD278" s="293">
        <f ca="1">Ruimtestaat!D278*$BC278</f>
        <v>0</v>
      </c>
      <c r="BE278" s="294">
        <f ca="1">Ruimtestaat!E278*$BC278</f>
        <v>0</v>
      </c>
      <c r="BF278" s="294">
        <f ca="1">Ruimtestaat!F278*$BC278</f>
        <v>0</v>
      </c>
      <c r="BG278" s="294">
        <f ca="1">Ruimtestaat!G278*$BC278</f>
        <v>0</v>
      </c>
      <c r="BH278" s="294">
        <f ca="1">Ruimtestaat!H278*$BC278</f>
        <v>0</v>
      </c>
      <c r="BI278" s="295">
        <f ca="1">Ruimtestaat!I278*$BC278</f>
        <v>0</v>
      </c>
      <c r="BJ278" s="296">
        <f ca="1">Ruimtestaat!J278*$BC278</f>
        <v>0</v>
      </c>
      <c r="BK278" s="554"/>
      <c r="BR278" s="291" t="str">
        <f>IF(Ruimtestaat!BC278="","",Ruimtestaat!BC278)</f>
        <v/>
      </c>
      <c r="BS278" s="292">
        <f t="shared" si="9"/>
        <v>4</v>
      </c>
      <c r="BT278" s="293" t="str">
        <f ca="1">IF(BD278&gt;0,IF(ISNUMBER(Schoonmaaknormen!D278),Schoonmaaknormen!BD278/Schoonmaaknormen!D278,0),"")</f>
        <v/>
      </c>
      <c r="BU278" s="294" t="str">
        <f ca="1">IF(BE278&gt;0,IF(ISNUMBER(Schoonmaaknormen!E278),Schoonmaaknormen!BE278/Schoonmaaknormen!E278,0),"")</f>
        <v/>
      </c>
      <c r="BV278" s="294" t="str">
        <f ca="1">IF(BF278&gt;0,IF(ISNUMBER(Schoonmaaknormen!F278),Schoonmaaknormen!BF278/Schoonmaaknormen!F278,0),"")</f>
        <v/>
      </c>
      <c r="BW278" s="294" t="str">
        <f ca="1">IF(BG278&gt;0,IF(ISNUMBER(Schoonmaaknormen!G278),Schoonmaaknormen!BG278/Schoonmaaknormen!G278,0),"")</f>
        <v/>
      </c>
      <c r="BX278" s="294" t="str">
        <f ca="1">IF(BH278&gt;0,IF(ISNUMBER(Schoonmaaknormen!H278),Schoonmaaknormen!BH278/Schoonmaaknormen!H278,0),"")</f>
        <v/>
      </c>
      <c r="BY278" s="295" t="str">
        <f ca="1">IF(BI278&gt;0,IF(ISNUMBER(Schoonmaaknormen!I278),Schoonmaaknormen!BI278/Schoonmaaknormen!I278,0),"")</f>
        <v/>
      </c>
      <c r="BZ278" s="295" t="str">
        <f ca="1">IF(BJ278&gt;0,IF(ISNUMBER(Schoonmaaknormen!J278),Schoonmaaknormen!BJ278/Schoonmaaknormen!J278,0),"")</f>
        <v/>
      </c>
      <c r="CA278" s="555"/>
      <c r="CB278" s="554"/>
    </row>
    <row r="279" spans="1:80" ht="0.2" customHeight="1" x14ac:dyDescent="0.2">
      <c r="A279" s="172">
        <f ca="1">Ruimtestaat!A279</f>
        <v>2</v>
      </c>
      <c r="B279" s="556" t="str">
        <f>BB279</f>
        <v/>
      </c>
      <c r="C279" s="298">
        <v>255</v>
      </c>
      <c r="D279" s="299"/>
      <c r="E279" s="300"/>
      <c r="F279" s="301"/>
      <c r="G279" s="300"/>
      <c r="H279" s="300"/>
      <c r="I279" s="302"/>
      <c r="J279" s="302"/>
      <c r="K279" s="559"/>
      <c r="L279" s="551" t="str" cm="1">
        <f t="array" aca="1" ref="L279" ca="1">_xlfn.IFS(A279=2,"",COUNTBLANK(D279:J284)=COUNTIF(Ruimtestaat!D279:J284,"&lt;=0"),BK279/CB279,TRUE,"")</f>
        <v/>
      </c>
      <c r="M279" s="172" t="b">
        <f>IF(_xlfn.XLOOKUP(BB279,Tabel2[Locatiecode],Tabel2[Type locatie],"",0)="vaccin",TRUE,FALSE)</f>
        <v>0</v>
      </c>
      <c r="BB279" s="303" t="str">
        <f>IF(Ruimtestaat!BC279="","",Ruimtestaat!BC279)</f>
        <v/>
      </c>
      <c r="BC279" s="304">
        <f t="shared" si="8"/>
        <v>255</v>
      </c>
      <c r="BD279" s="305">
        <f ca="1">Ruimtestaat!D279*$BC279</f>
        <v>0</v>
      </c>
      <c r="BE279" s="306">
        <f ca="1">Ruimtestaat!E279*$BC279</f>
        <v>0</v>
      </c>
      <c r="BF279" s="306">
        <f ca="1">Ruimtestaat!F279*$BC279</f>
        <v>0</v>
      </c>
      <c r="BG279" s="306">
        <f ca="1">Ruimtestaat!G279*$BC279</f>
        <v>0</v>
      </c>
      <c r="BH279" s="306">
        <f ca="1">Ruimtestaat!H279*$BC279</f>
        <v>0</v>
      </c>
      <c r="BI279" s="307">
        <f ca="1">Ruimtestaat!I279*$BC279</f>
        <v>0</v>
      </c>
      <c r="BJ279" s="308">
        <f ca="1">Ruimtestaat!J279*$BC279</f>
        <v>0</v>
      </c>
      <c r="BK279" s="552">
        <f ca="1">SUM(BD279:BJ284)</f>
        <v>0</v>
      </c>
      <c r="BR279" s="303" t="str">
        <f>IF(Ruimtestaat!BC279="","",Ruimtestaat!BC279)</f>
        <v/>
      </c>
      <c r="BS279" s="304">
        <f t="shared" si="9"/>
        <v>255</v>
      </c>
      <c r="BT279" s="305" t="str">
        <f ca="1">IF(BD279&gt;0,IF(ISNUMBER(Schoonmaaknormen!D279),Schoonmaaknormen!BD279/Schoonmaaknormen!D279,0),"")</f>
        <v/>
      </c>
      <c r="BU279" s="306" t="str">
        <f ca="1">IF(BE279&gt;0,IF(ISNUMBER(Schoonmaaknormen!E279),Schoonmaaknormen!BE279/Schoonmaaknormen!E279,0),"")</f>
        <v/>
      </c>
      <c r="BV279" s="306" t="str">
        <f ca="1">IF(BF279&gt;0,IF(ISNUMBER(Schoonmaaknormen!F279),Schoonmaaknormen!BF279/Schoonmaaknormen!F279,0),"")</f>
        <v/>
      </c>
      <c r="BW279" s="306" t="str">
        <f ca="1">IF(BG279&gt;0,IF(ISNUMBER(Schoonmaaknormen!G279),Schoonmaaknormen!BG279/Schoonmaaknormen!G279,0),"")</f>
        <v/>
      </c>
      <c r="BX279" s="306" t="str">
        <f ca="1">IF(BH279&gt;0,IF(ISNUMBER(Schoonmaaknormen!H279),Schoonmaaknormen!BH279/Schoonmaaknormen!H279,0),"")</f>
        <v/>
      </c>
      <c r="BY279" s="315" t="str">
        <f ca="1">IF(BI279&gt;0,IF(ISNUMBER(Schoonmaaknormen!I279),Schoonmaaknormen!BI279/Schoonmaaknormen!I279,0),"")</f>
        <v/>
      </c>
      <c r="BZ279" s="315" t="str">
        <f ca="1">IF(BJ279&gt;0,IF(ISNUMBER(Schoonmaaknormen!J279),Schoonmaaknormen!BJ279/Schoonmaaknormen!J279,0),"")</f>
        <v/>
      </c>
      <c r="CA279" s="547" t="str" cm="1">
        <f t="array" ref="CA279">IF(ISNUMBER(K279),IF(SUM(BT279:BZ284)/LARGE(_xlfn._xlws.FILTER(Ruimtestaat!BD:BD,Ruimtestaat!BC:BC=BR279),1)&lt;K279,K279*LARGE(_xlfn._xlws.FILTER(Ruimtestaat!BD:BD,Ruimtestaat!BC:BC=BR279),1)-SUM(BT279:BZ284),0),"")</f>
        <v/>
      </c>
      <c r="CB279" s="551">
        <f ca="1">SUM(BT279:CA284)</f>
        <v>0</v>
      </c>
    </row>
    <row r="280" spans="1:80" ht="0.2" customHeight="1" x14ac:dyDescent="0.2">
      <c r="A280" s="172">
        <f ca="1">Ruimtestaat!A280</f>
        <v>2</v>
      </c>
      <c r="B280" s="557"/>
      <c r="C280" s="11">
        <v>204</v>
      </c>
      <c r="D280" s="309"/>
      <c r="E280" s="310"/>
      <c r="F280" s="311"/>
      <c r="G280" s="310"/>
      <c r="H280" s="310"/>
      <c r="I280" s="312"/>
      <c r="J280" s="312"/>
      <c r="K280" s="560"/>
      <c r="L280" s="552"/>
      <c r="M280" s="172" t="b">
        <f>IF(_xlfn.XLOOKUP(BB280,Tabel2[Locatiecode],Tabel2[Type locatie],"",0)="vaccin",TRUE,FALSE)</f>
        <v>0</v>
      </c>
      <c r="BB280" s="272" t="str">
        <f>IF(Ruimtestaat!BC280="","",Ruimtestaat!BC280)</f>
        <v/>
      </c>
      <c r="BC280" s="273">
        <f t="shared" si="8"/>
        <v>204</v>
      </c>
      <c r="BD280" s="274">
        <f ca="1">Ruimtestaat!D280*$BC280</f>
        <v>0</v>
      </c>
      <c r="BE280" s="275">
        <f ca="1">Ruimtestaat!E280*$BC280</f>
        <v>0</v>
      </c>
      <c r="BF280" s="275">
        <f ca="1">Ruimtestaat!F280*$BC280</f>
        <v>0</v>
      </c>
      <c r="BG280" s="275">
        <f ca="1">Ruimtestaat!G280*$BC280</f>
        <v>0</v>
      </c>
      <c r="BH280" s="275">
        <f ca="1">Ruimtestaat!H280*$BC280</f>
        <v>0</v>
      </c>
      <c r="BI280" s="276">
        <f ca="1">Ruimtestaat!I280*$BC280</f>
        <v>0</v>
      </c>
      <c r="BJ280" s="277">
        <f ca="1">Ruimtestaat!J280*$BC280</f>
        <v>0</v>
      </c>
      <c r="BK280" s="552"/>
      <c r="BR280" s="272" t="str">
        <f>IF(Ruimtestaat!BC280="","",Ruimtestaat!BC280)</f>
        <v/>
      </c>
      <c r="BS280" s="273">
        <f t="shared" si="9"/>
        <v>204</v>
      </c>
      <c r="BT280" s="274" t="str">
        <f ca="1">IF(BD280&gt;0,IF(ISNUMBER(Schoonmaaknormen!D280),Schoonmaaknormen!BD280/Schoonmaaknormen!D280,0),"")</f>
        <v/>
      </c>
      <c r="BU280" s="275" t="str">
        <f ca="1">IF(BE280&gt;0,IF(ISNUMBER(Schoonmaaknormen!E280),Schoonmaaknormen!BE280/Schoonmaaknormen!E280,0),"")</f>
        <v/>
      </c>
      <c r="BV280" s="275" t="str">
        <f ca="1">IF(BF280&gt;0,IF(ISNUMBER(Schoonmaaknormen!F280),Schoonmaaknormen!BF280/Schoonmaaknormen!F280,0),"")</f>
        <v/>
      </c>
      <c r="BW280" s="275" t="str">
        <f ca="1">IF(BG280&gt;0,IF(ISNUMBER(Schoonmaaknormen!G280),Schoonmaaknormen!BG280/Schoonmaaknormen!G280,0),"")</f>
        <v/>
      </c>
      <c r="BX280" s="275" t="str">
        <f ca="1">IF(BH280&gt;0,IF(ISNUMBER(Schoonmaaknormen!H280),Schoonmaaknormen!BH280/Schoonmaaknormen!H280,0),"")</f>
        <v/>
      </c>
      <c r="BY280" s="276" t="str">
        <f ca="1">IF(BI280&gt;0,IF(ISNUMBER(Schoonmaaknormen!I280),Schoonmaaknormen!BI280/Schoonmaaknormen!I280,0),"")</f>
        <v/>
      </c>
      <c r="BZ280" s="276" t="str">
        <f ca="1">IF(BJ280&gt;0,IF(ISNUMBER(Schoonmaaknormen!J280),Schoonmaaknormen!BJ280/Schoonmaaknormen!J280,0),"")</f>
        <v/>
      </c>
      <c r="CA280" s="548"/>
      <c r="CB280" s="552"/>
    </row>
    <row r="281" spans="1:80" ht="0.2" customHeight="1" x14ac:dyDescent="0.2">
      <c r="A281" s="172">
        <f ca="1">Ruimtestaat!A281</f>
        <v>2</v>
      </c>
      <c r="B281" s="557"/>
      <c r="C281" s="11">
        <v>156</v>
      </c>
      <c r="D281" s="309"/>
      <c r="E281" s="310"/>
      <c r="F281" s="311"/>
      <c r="G281" s="310"/>
      <c r="H281" s="310"/>
      <c r="I281" s="312"/>
      <c r="J281" s="312"/>
      <c r="K281" s="560"/>
      <c r="L281" s="552"/>
      <c r="M281" s="172" t="b">
        <f>IF(_xlfn.XLOOKUP(BB281,Tabel2[Locatiecode],Tabel2[Type locatie],"",0)="vaccin",TRUE,FALSE)</f>
        <v>0</v>
      </c>
      <c r="BB281" s="272" t="str">
        <f>IF(Ruimtestaat!BC281="","",Ruimtestaat!BC281)</f>
        <v/>
      </c>
      <c r="BC281" s="273">
        <f t="shared" si="8"/>
        <v>156</v>
      </c>
      <c r="BD281" s="274">
        <f ca="1">Ruimtestaat!D281*$BC281</f>
        <v>0</v>
      </c>
      <c r="BE281" s="275">
        <f ca="1">Ruimtestaat!E281*$BC281</f>
        <v>0</v>
      </c>
      <c r="BF281" s="275">
        <f ca="1">Ruimtestaat!F281*$BC281</f>
        <v>0</v>
      </c>
      <c r="BG281" s="275">
        <f ca="1">Ruimtestaat!G281*$BC281</f>
        <v>0</v>
      </c>
      <c r="BH281" s="275">
        <f ca="1">Ruimtestaat!H281*$BC281</f>
        <v>0</v>
      </c>
      <c r="BI281" s="276">
        <f ca="1">Ruimtestaat!I281*$BC281</f>
        <v>0</v>
      </c>
      <c r="BJ281" s="277">
        <f ca="1">Ruimtestaat!J281*$BC281</f>
        <v>0</v>
      </c>
      <c r="BK281" s="552"/>
      <c r="BR281" s="272" t="str">
        <f>IF(Ruimtestaat!BC281="","",Ruimtestaat!BC281)</f>
        <v/>
      </c>
      <c r="BS281" s="273">
        <f t="shared" si="9"/>
        <v>156</v>
      </c>
      <c r="BT281" s="274" t="str">
        <f ca="1">IF(BD281&gt;0,IF(ISNUMBER(Schoonmaaknormen!D281),Schoonmaaknormen!BD281/Schoonmaaknormen!D281,0),"")</f>
        <v/>
      </c>
      <c r="BU281" s="275" t="str">
        <f ca="1">IF(BE281&gt;0,IF(ISNUMBER(Schoonmaaknormen!E281),Schoonmaaknormen!BE281/Schoonmaaknormen!E281,0),"")</f>
        <v/>
      </c>
      <c r="BV281" s="275" t="str">
        <f ca="1">IF(BF281&gt;0,IF(ISNUMBER(Schoonmaaknormen!F281),Schoonmaaknormen!BF281/Schoonmaaknormen!F281,0),"")</f>
        <v/>
      </c>
      <c r="BW281" s="275" t="str">
        <f ca="1">IF(BG281&gt;0,IF(ISNUMBER(Schoonmaaknormen!G281),Schoonmaaknormen!BG281/Schoonmaaknormen!G281,0),"")</f>
        <v/>
      </c>
      <c r="BX281" s="275" t="str">
        <f ca="1">IF(BH281&gt;0,IF(ISNUMBER(Schoonmaaknormen!H281),Schoonmaaknormen!BH281/Schoonmaaknormen!H281,0),"")</f>
        <v/>
      </c>
      <c r="BY281" s="276" t="str">
        <f ca="1">IF(BI281&gt;0,IF(ISNUMBER(Schoonmaaknormen!I281),Schoonmaaknormen!BI281/Schoonmaaknormen!I281,0),"")</f>
        <v/>
      </c>
      <c r="BZ281" s="276" t="str">
        <f ca="1">IF(BJ281&gt;0,IF(ISNUMBER(Schoonmaaknormen!J281),Schoonmaaknormen!BJ281/Schoonmaaknormen!J281,0),"")</f>
        <v/>
      </c>
      <c r="CA281" s="548"/>
      <c r="CB281" s="552"/>
    </row>
    <row r="282" spans="1:80" ht="0.2" customHeight="1" x14ac:dyDescent="0.2">
      <c r="A282" s="172">
        <f ca="1">Ruimtestaat!A282</f>
        <v>2</v>
      </c>
      <c r="B282" s="557"/>
      <c r="C282" s="11">
        <v>104</v>
      </c>
      <c r="D282" s="309"/>
      <c r="E282" s="310"/>
      <c r="F282" s="311"/>
      <c r="G282" s="310"/>
      <c r="H282" s="310"/>
      <c r="I282" s="312"/>
      <c r="J282" s="312"/>
      <c r="K282" s="561"/>
      <c r="L282" s="553"/>
      <c r="M282" s="172" t="b">
        <f>IF(_xlfn.XLOOKUP(BB282,Tabel2[Locatiecode],Tabel2[Type locatie],"",0)="vaccin",TRUE,FALSE)</f>
        <v>0</v>
      </c>
      <c r="BB282" s="278" t="str">
        <f>IF(Ruimtestaat!BC282="","",Ruimtestaat!BC282)</f>
        <v/>
      </c>
      <c r="BC282" s="279">
        <f t="shared" si="8"/>
        <v>104</v>
      </c>
      <c r="BD282" s="280">
        <f ca="1">Ruimtestaat!D282*$BC282</f>
        <v>0</v>
      </c>
      <c r="BE282" s="281">
        <f ca="1">Ruimtestaat!E282*$BC282</f>
        <v>0</v>
      </c>
      <c r="BF282" s="281">
        <f ca="1">Ruimtestaat!F282*$BC282</f>
        <v>0</v>
      </c>
      <c r="BG282" s="281">
        <f ca="1">Ruimtestaat!G282*$BC282</f>
        <v>0</v>
      </c>
      <c r="BH282" s="281">
        <f ca="1">Ruimtestaat!H282*$BC282</f>
        <v>0</v>
      </c>
      <c r="BI282" s="282">
        <f ca="1">Ruimtestaat!I282*$BC282</f>
        <v>0</v>
      </c>
      <c r="BJ282" s="283">
        <f ca="1">Ruimtestaat!J282*$BC282</f>
        <v>0</v>
      </c>
      <c r="BK282" s="553"/>
      <c r="BR282" s="278" t="str">
        <f>IF(Ruimtestaat!BC282="","",Ruimtestaat!BC282)</f>
        <v/>
      </c>
      <c r="BS282" s="313">
        <f t="shared" si="9"/>
        <v>104</v>
      </c>
      <c r="BT282" s="280" t="str">
        <f ca="1">IF(BD282&gt;0,IF(ISNUMBER(Schoonmaaknormen!D282),Schoonmaaknormen!BD282/Schoonmaaknormen!D282,0),"")</f>
        <v/>
      </c>
      <c r="BU282" s="314" t="str">
        <f ca="1">IF(BE282&gt;0,IF(ISNUMBER(Schoonmaaknormen!E282),Schoonmaaknormen!BE282/Schoonmaaknormen!E282,0),"")</f>
        <v/>
      </c>
      <c r="BV282" s="314" t="str">
        <f ca="1">IF(BF282&gt;0,IF(ISNUMBER(Schoonmaaknormen!F282),Schoonmaaknormen!BF282/Schoonmaaknormen!F282,0),"")</f>
        <v/>
      </c>
      <c r="BW282" s="314" t="str">
        <f ca="1">IF(BG282&gt;0,IF(ISNUMBER(Schoonmaaknormen!G282),Schoonmaaknormen!BG282/Schoonmaaknormen!G282,0),"")</f>
        <v/>
      </c>
      <c r="BX282" s="314" t="str">
        <f ca="1">IF(BH282&gt;0,IF(ISNUMBER(Schoonmaaknormen!H282),Schoonmaaknormen!BH282/Schoonmaaknormen!H282,0),"")</f>
        <v/>
      </c>
      <c r="BY282" s="282" t="str">
        <f ca="1">IF(BI282&gt;0,IF(ISNUMBER(Schoonmaaknormen!I282),Schoonmaaknormen!BI282/Schoonmaaknormen!I282,0),"")</f>
        <v/>
      </c>
      <c r="BZ282" s="282" t="str">
        <f ca="1">IF(BJ282&gt;0,IF(ISNUMBER(Schoonmaaknormen!J282),Schoonmaaknormen!BJ282/Schoonmaaknormen!J282,0),"")</f>
        <v/>
      </c>
      <c r="CA282" s="549"/>
      <c r="CB282" s="553"/>
    </row>
    <row r="283" spans="1:80" ht="0.2" customHeight="1" x14ac:dyDescent="0.2">
      <c r="A283" s="172">
        <f ca="1">Ruimtestaat!A283</f>
        <v>2</v>
      </c>
      <c r="B283" s="557"/>
      <c r="C283" s="11">
        <v>52</v>
      </c>
      <c r="D283" s="309"/>
      <c r="E283" s="310"/>
      <c r="F283" s="311"/>
      <c r="G283" s="310"/>
      <c r="H283" s="310"/>
      <c r="I283" s="312"/>
      <c r="J283" s="312"/>
      <c r="K283" s="561"/>
      <c r="L283" s="553"/>
      <c r="M283" s="172" t="b">
        <f>IF(_xlfn.XLOOKUP(BB283,Tabel2[Locatiecode],Tabel2[Type locatie],"",0)="vaccin",TRUE,FALSE)</f>
        <v>0</v>
      </c>
      <c r="BB283" s="284" t="str">
        <f>IF(Ruimtestaat!BC283="","",Ruimtestaat!BC283)</f>
        <v/>
      </c>
      <c r="BC283" s="285">
        <f t="shared" si="8"/>
        <v>52</v>
      </c>
      <c r="BD283" s="286">
        <f ca="1">Ruimtestaat!D283*$BC283</f>
        <v>0</v>
      </c>
      <c r="BE283" s="287">
        <f ca="1">Ruimtestaat!E283*$BC283</f>
        <v>0</v>
      </c>
      <c r="BF283" s="287">
        <f ca="1">Ruimtestaat!F283*$BC283</f>
        <v>0</v>
      </c>
      <c r="BG283" s="287">
        <f ca="1">Ruimtestaat!G283*$BC283</f>
        <v>0</v>
      </c>
      <c r="BH283" s="287">
        <f ca="1">Ruimtestaat!H283*$BC283</f>
        <v>0</v>
      </c>
      <c r="BI283" s="288">
        <f ca="1">Ruimtestaat!I283*$BC283</f>
        <v>0</v>
      </c>
      <c r="BJ283" s="289">
        <f ca="1">Ruimtestaat!J283*$BC283</f>
        <v>0</v>
      </c>
      <c r="BK283" s="553"/>
      <c r="BR283" s="284" t="str">
        <f>IF(Ruimtestaat!BC283="","",Ruimtestaat!BC283)</f>
        <v/>
      </c>
      <c r="BS283" s="285">
        <f t="shared" si="9"/>
        <v>52</v>
      </c>
      <c r="BT283" s="286" t="str">
        <f ca="1">IF(BD283&gt;0,IF(ISNUMBER(Schoonmaaknormen!D283),Schoonmaaknormen!BD283/Schoonmaaknormen!D283,0),"")</f>
        <v/>
      </c>
      <c r="BU283" s="287" t="str">
        <f ca="1">IF(BE283&gt;0,IF(ISNUMBER(Schoonmaaknormen!E283),Schoonmaaknormen!BE283/Schoonmaaknormen!E283,0),"")</f>
        <v/>
      </c>
      <c r="BV283" s="287" t="str">
        <f ca="1">IF(BF283&gt;0,IF(ISNUMBER(Schoonmaaknormen!F283),Schoonmaaknormen!BF283/Schoonmaaknormen!F283,0),"")</f>
        <v/>
      </c>
      <c r="BW283" s="287" t="str">
        <f ca="1">IF(BG283&gt;0,IF(ISNUMBER(Schoonmaaknormen!G283),Schoonmaaknormen!BG283/Schoonmaaknormen!G283,0),"")</f>
        <v/>
      </c>
      <c r="BX283" s="287" t="str">
        <f ca="1">IF(BH283&gt;0,IF(ISNUMBER(Schoonmaaknormen!H283),Schoonmaaknormen!BH283/Schoonmaaknormen!H283,0),"")</f>
        <v/>
      </c>
      <c r="BY283" s="288" t="str">
        <f ca="1">IF(BI283&gt;0,IF(ISNUMBER(Schoonmaaknormen!I283),Schoonmaaknormen!BI283/Schoonmaaknormen!I283,0),"")</f>
        <v/>
      </c>
      <c r="BZ283" s="288" t="str">
        <f ca="1">IF(BJ283&gt;0,IF(ISNUMBER(Schoonmaaknormen!J283),Schoonmaaknormen!BJ283/Schoonmaaknormen!J283,0),"")</f>
        <v/>
      </c>
      <c r="CA283" s="549"/>
      <c r="CB283" s="553"/>
    </row>
    <row r="284" spans="1:80" ht="0.2" customHeight="1" x14ac:dyDescent="0.2">
      <c r="A284" s="172">
        <f ca="1">Ruimtestaat!A284</f>
        <v>2</v>
      </c>
      <c r="B284" s="558"/>
      <c r="C284" s="290">
        <v>4</v>
      </c>
      <c r="D284" s="186"/>
      <c r="E284" s="187"/>
      <c r="F284" s="188"/>
      <c r="G284" s="187"/>
      <c r="H284" s="187"/>
      <c r="I284" s="189"/>
      <c r="J284" s="189"/>
      <c r="K284" s="562"/>
      <c r="L284" s="554"/>
      <c r="M284" s="172" t="b">
        <f>IF(_xlfn.XLOOKUP(BB284,Tabel2[Locatiecode],Tabel2[Type locatie],"",0)="vaccin",TRUE,FALSE)</f>
        <v>0</v>
      </c>
      <c r="BB284" s="291" t="str">
        <f>IF(Ruimtestaat!BC284="","",Ruimtestaat!BC284)</f>
        <v/>
      </c>
      <c r="BC284" s="292">
        <f t="shared" si="8"/>
        <v>4</v>
      </c>
      <c r="BD284" s="293">
        <f ca="1">Ruimtestaat!D284*$BC284</f>
        <v>0</v>
      </c>
      <c r="BE284" s="294">
        <f ca="1">Ruimtestaat!E284*$BC284</f>
        <v>0</v>
      </c>
      <c r="BF284" s="294">
        <f ca="1">Ruimtestaat!F284*$BC284</f>
        <v>0</v>
      </c>
      <c r="BG284" s="294">
        <f ca="1">Ruimtestaat!G284*$BC284</f>
        <v>0</v>
      </c>
      <c r="BH284" s="294">
        <f ca="1">Ruimtestaat!H284*$BC284</f>
        <v>0</v>
      </c>
      <c r="BI284" s="295">
        <f ca="1">Ruimtestaat!I284*$BC284</f>
        <v>0</v>
      </c>
      <c r="BJ284" s="296">
        <f ca="1">Ruimtestaat!J284*$BC284</f>
        <v>0</v>
      </c>
      <c r="BK284" s="554"/>
      <c r="BR284" s="291" t="str">
        <f>IF(Ruimtestaat!BC284="","",Ruimtestaat!BC284)</f>
        <v/>
      </c>
      <c r="BS284" s="292">
        <f t="shared" si="9"/>
        <v>4</v>
      </c>
      <c r="BT284" s="293" t="str">
        <f ca="1">IF(BD284&gt;0,IF(ISNUMBER(Schoonmaaknormen!D284),Schoonmaaknormen!BD284/Schoonmaaknormen!D284,0),"")</f>
        <v/>
      </c>
      <c r="BU284" s="294" t="str">
        <f ca="1">IF(BE284&gt;0,IF(ISNUMBER(Schoonmaaknormen!E284),Schoonmaaknormen!BE284/Schoonmaaknormen!E284,0),"")</f>
        <v/>
      </c>
      <c r="BV284" s="294" t="str">
        <f ca="1">IF(BF284&gt;0,IF(ISNUMBER(Schoonmaaknormen!F284),Schoonmaaknormen!BF284/Schoonmaaknormen!F284,0),"")</f>
        <v/>
      </c>
      <c r="BW284" s="294" t="str">
        <f ca="1">IF(BG284&gt;0,IF(ISNUMBER(Schoonmaaknormen!G284),Schoonmaaknormen!BG284/Schoonmaaknormen!G284,0),"")</f>
        <v/>
      </c>
      <c r="BX284" s="294" t="str">
        <f ca="1">IF(BH284&gt;0,IF(ISNUMBER(Schoonmaaknormen!H284),Schoonmaaknormen!BH284/Schoonmaaknormen!H284,0),"")</f>
        <v/>
      </c>
      <c r="BY284" s="295" t="str">
        <f ca="1">IF(BI284&gt;0,IF(ISNUMBER(Schoonmaaknormen!I284),Schoonmaaknormen!BI284/Schoonmaaknormen!I284,0),"")</f>
        <v/>
      </c>
      <c r="BZ284" s="295" t="str">
        <f ca="1">IF(BJ284&gt;0,IF(ISNUMBER(Schoonmaaknormen!J284),Schoonmaaknormen!BJ284/Schoonmaaknormen!J284,0),"")</f>
        <v/>
      </c>
      <c r="CA284" s="555"/>
      <c r="CB284" s="554"/>
    </row>
    <row r="285" spans="1:80" ht="0.2" customHeight="1" x14ac:dyDescent="0.2">
      <c r="A285" s="172">
        <f ca="1">Ruimtestaat!A285</f>
        <v>2</v>
      </c>
      <c r="B285" s="556" t="str">
        <f>BB285</f>
        <v/>
      </c>
      <c r="C285" s="298">
        <v>255</v>
      </c>
      <c r="D285" s="299"/>
      <c r="E285" s="300"/>
      <c r="F285" s="301"/>
      <c r="G285" s="300"/>
      <c r="H285" s="300"/>
      <c r="I285" s="302"/>
      <c r="J285" s="302"/>
      <c r="K285" s="559"/>
      <c r="L285" s="551" t="str" cm="1">
        <f t="array" aca="1" ref="L285" ca="1">_xlfn.IFS(A285=2,"",COUNTBLANK(D285:J290)=COUNTIF(Ruimtestaat!D285:J290,"&lt;=0"),BK285/CB285,TRUE,"")</f>
        <v/>
      </c>
      <c r="M285" s="172" t="b">
        <f>IF(_xlfn.XLOOKUP(BB285,Tabel2[Locatiecode],Tabel2[Type locatie],"",0)="vaccin",TRUE,FALSE)</f>
        <v>0</v>
      </c>
      <c r="BB285" s="303" t="str">
        <f>IF(Ruimtestaat!BC285="","",Ruimtestaat!BC285)</f>
        <v/>
      </c>
      <c r="BC285" s="304">
        <f t="shared" si="8"/>
        <v>255</v>
      </c>
      <c r="BD285" s="305">
        <f ca="1">Ruimtestaat!D285*$BC285</f>
        <v>0</v>
      </c>
      <c r="BE285" s="306">
        <f ca="1">Ruimtestaat!E285*$BC285</f>
        <v>0</v>
      </c>
      <c r="BF285" s="306">
        <f ca="1">Ruimtestaat!F285*$BC285</f>
        <v>0</v>
      </c>
      <c r="BG285" s="306">
        <f ca="1">Ruimtestaat!G285*$BC285</f>
        <v>0</v>
      </c>
      <c r="BH285" s="306">
        <f ca="1">Ruimtestaat!H285*$BC285</f>
        <v>0</v>
      </c>
      <c r="BI285" s="307">
        <f ca="1">Ruimtestaat!I285*$BC285</f>
        <v>0</v>
      </c>
      <c r="BJ285" s="308">
        <f ca="1">Ruimtestaat!J285*$BC285</f>
        <v>0</v>
      </c>
      <c r="BK285" s="552">
        <f ca="1">SUM(BD285:BJ290)</f>
        <v>0</v>
      </c>
      <c r="BR285" s="303" t="str">
        <f>IF(Ruimtestaat!BC285="","",Ruimtestaat!BC285)</f>
        <v/>
      </c>
      <c r="BS285" s="304">
        <f t="shared" si="9"/>
        <v>255</v>
      </c>
      <c r="BT285" s="305" t="str">
        <f ca="1">IF(BD285&gt;0,IF(ISNUMBER(Schoonmaaknormen!D285),Schoonmaaknormen!BD285/Schoonmaaknormen!D285,0),"")</f>
        <v/>
      </c>
      <c r="BU285" s="306" t="str">
        <f ca="1">IF(BE285&gt;0,IF(ISNUMBER(Schoonmaaknormen!E285),Schoonmaaknormen!BE285/Schoonmaaknormen!E285,0),"")</f>
        <v/>
      </c>
      <c r="BV285" s="306" t="str">
        <f ca="1">IF(BF285&gt;0,IF(ISNUMBER(Schoonmaaknormen!F285),Schoonmaaknormen!BF285/Schoonmaaknormen!F285,0),"")</f>
        <v/>
      </c>
      <c r="BW285" s="306" t="str">
        <f ca="1">IF(BG285&gt;0,IF(ISNUMBER(Schoonmaaknormen!G285),Schoonmaaknormen!BG285/Schoonmaaknormen!G285,0),"")</f>
        <v/>
      </c>
      <c r="BX285" s="306" t="str">
        <f ca="1">IF(BH285&gt;0,IF(ISNUMBER(Schoonmaaknormen!H285),Schoonmaaknormen!BH285/Schoonmaaknormen!H285,0),"")</f>
        <v/>
      </c>
      <c r="BY285" s="315" t="str">
        <f ca="1">IF(BI285&gt;0,IF(ISNUMBER(Schoonmaaknormen!I285),Schoonmaaknormen!BI285/Schoonmaaknormen!I285,0),"")</f>
        <v/>
      </c>
      <c r="BZ285" s="315" t="str">
        <f ca="1">IF(BJ285&gt;0,IF(ISNUMBER(Schoonmaaknormen!J285),Schoonmaaknormen!BJ285/Schoonmaaknormen!J285,0),"")</f>
        <v/>
      </c>
      <c r="CA285" s="547" t="str" cm="1">
        <f t="array" ref="CA285">IF(ISNUMBER(K285),IF(SUM(BT285:BZ290)/LARGE(_xlfn._xlws.FILTER(Ruimtestaat!BD:BD,Ruimtestaat!BC:BC=BR285),1)&lt;K285,K285*LARGE(_xlfn._xlws.FILTER(Ruimtestaat!BD:BD,Ruimtestaat!BC:BC=BR285),1)-SUM(BT285:BZ290),0),"")</f>
        <v/>
      </c>
      <c r="CB285" s="551">
        <f ca="1">SUM(BT285:CA290)</f>
        <v>0</v>
      </c>
    </row>
    <row r="286" spans="1:80" ht="0.2" customHeight="1" x14ac:dyDescent="0.2">
      <c r="A286" s="172">
        <f ca="1">Ruimtestaat!A286</f>
        <v>2</v>
      </c>
      <c r="B286" s="557"/>
      <c r="C286" s="11">
        <v>204</v>
      </c>
      <c r="D286" s="309"/>
      <c r="E286" s="310"/>
      <c r="F286" s="311"/>
      <c r="G286" s="310"/>
      <c r="H286" s="310"/>
      <c r="I286" s="312"/>
      <c r="J286" s="312"/>
      <c r="K286" s="560"/>
      <c r="L286" s="552"/>
      <c r="M286" s="172" t="b">
        <f>IF(_xlfn.XLOOKUP(BB286,Tabel2[Locatiecode],Tabel2[Type locatie],"",0)="vaccin",TRUE,FALSE)</f>
        <v>0</v>
      </c>
      <c r="BB286" s="272" t="str">
        <f>IF(Ruimtestaat!BC286="","",Ruimtestaat!BC286)</f>
        <v/>
      </c>
      <c r="BC286" s="273">
        <f t="shared" si="8"/>
        <v>204</v>
      </c>
      <c r="BD286" s="274">
        <f ca="1">Ruimtestaat!D286*$BC286</f>
        <v>0</v>
      </c>
      <c r="BE286" s="275">
        <f ca="1">Ruimtestaat!E286*$BC286</f>
        <v>0</v>
      </c>
      <c r="BF286" s="275">
        <f ca="1">Ruimtestaat!F286*$BC286</f>
        <v>0</v>
      </c>
      <c r="BG286" s="275">
        <f ca="1">Ruimtestaat!G286*$BC286</f>
        <v>0</v>
      </c>
      <c r="BH286" s="275">
        <f ca="1">Ruimtestaat!H286*$BC286</f>
        <v>0</v>
      </c>
      <c r="BI286" s="276">
        <f ca="1">Ruimtestaat!I286*$BC286</f>
        <v>0</v>
      </c>
      <c r="BJ286" s="277">
        <f ca="1">Ruimtestaat!J286*$BC286</f>
        <v>0</v>
      </c>
      <c r="BK286" s="552"/>
      <c r="BR286" s="272" t="str">
        <f>IF(Ruimtestaat!BC286="","",Ruimtestaat!BC286)</f>
        <v/>
      </c>
      <c r="BS286" s="273">
        <f t="shared" si="9"/>
        <v>204</v>
      </c>
      <c r="BT286" s="274" t="str">
        <f ca="1">IF(BD286&gt;0,IF(ISNUMBER(Schoonmaaknormen!D286),Schoonmaaknormen!BD286/Schoonmaaknormen!D286,0),"")</f>
        <v/>
      </c>
      <c r="BU286" s="275" t="str">
        <f ca="1">IF(BE286&gt;0,IF(ISNUMBER(Schoonmaaknormen!E286),Schoonmaaknormen!BE286/Schoonmaaknormen!E286,0),"")</f>
        <v/>
      </c>
      <c r="BV286" s="275" t="str">
        <f ca="1">IF(BF286&gt;0,IF(ISNUMBER(Schoonmaaknormen!F286),Schoonmaaknormen!BF286/Schoonmaaknormen!F286,0),"")</f>
        <v/>
      </c>
      <c r="BW286" s="275" t="str">
        <f ca="1">IF(BG286&gt;0,IF(ISNUMBER(Schoonmaaknormen!G286),Schoonmaaknormen!BG286/Schoonmaaknormen!G286,0),"")</f>
        <v/>
      </c>
      <c r="BX286" s="275" t="str">
        <f ca="1">IF(BH286&gt;0,IF(ISNUMBER(Schoonmaaknormen!H286),Schoonmaaknormen!BH286/Schoonmaaknormen!H286,0),"")</f>
        <v/>
      </c>
      <c r="BY286" s="276" t="str">
        <f ca="1">IF(BI286&gt;0,IF(ISNUMBER(Schoonmaaknormen!I286),Schoonmaaknormen!BI286/Schoonmaaknormen!I286,0),"")</f>
        <v/>
      </c>
      <c r="BZ286" s="276" t="str">
        <f ca="1">IF(BJ286&gt;0,IF(ISNUMBER(Schoonmaaknormen!J286),Schoonmaaknormen!BJ286/Schoonmaaknormen!J286,0),"")</f>
        <v/>
      </c>
      <c r="CA286" s="548"/>
      <c r="CB286" s="552"/>
    </row>
    <row r="287" spans="1:80" ht="0.2" customHeight="1" x14ac:dyDescent="0.2">
      <c r="A287" s="172">
        <f ca="1">Ruimtestaat!A287</f>
        <v>2</v>
      </c>
      <c r="B287" s="557"/>
      <c r="C287" s="11">
        <v>156</v>
      </c>
      <c r="D287" s="309"/>
      <c r="E287" s="310"/>
      <c r="F287" s="311"/>
      <c r="G287" s="310"/>
      <c r="H287" s="310"/>
      <c r="I287" s="312"/>
      <c r="J287" s="312"/>
      <c r="K287" s="560"/>
      <c r="L287" s="552"/>
      <c r="M287" s="172" t="b">
        <f>IF(_xlfn.XLOOKUP(BB287,Tabel2[Locatiecode],Tabel2[Type locatie],"",0)="vaccin",TRUE,FALSE)</f>
        <v>0</v>
      </c>
      <c r="BB287" s="272" t="str">
        <f>IF(Ruimtestaat!BC287="","",Ruimtestaat!BC287)</f>
        <v/>
      </c>
      <c r="BC287" s="273">
        <f t="shared" si="8"/>
        <v>156</v>
      </c>
      <c r="BD287" s="274">
        <f ca="1">Ruimtestaat!D287*$BC287</f>
        <v>0</v>
      </c>
      <c r="BE287" s="275">
        <f ca="1">Ruimtestaat!E287*$BC287</f>
        <v>0</v>
      </c>
      <c r="BF287" s="275">
        <f ca="1">Ruimtestaat!F287*$BC287</f>
        <v>0</v>
      </c>
      <c r="BG287" s="275">
        <f ca="1">Ruimtestaat!G287*$BC287</f>
        <v>0</v>
      </c>
      <c r="BH287" s="275">
        <f ca="1">Ruimtestaat!H287*$BC287</f>
        <v>0</v>
      </c>
      <c r="BI287" s="276">
        <f ca="1">Ruimtestaat!I287*$BC287</f>
        <v>0</v>
      </c>
      <c r="BJ287" s="277">
        <f ca="1">Ruimtestaat!J287*$BC287</f>
        <v>0</v>
      </c>
      <c r="BK287" s="552"/>
      <c r="BR287" s="272" t="str">
        <f>IF(Ruimtestaat!BC287="","",Ruimtestaat!BC287)</f>
        <v/>
      </c>
      <c r="BS287" s="273">
        <f t="shared" si="9"/>
        <v>156</v>
      </c>
      <c r="BT287" s="274" t="str">
        <f ca="1">IF(BD287&gt;0,IF(ISNUMBER(Schoonmaaknormen!D287),Schoonmaaknormen!BD287/Schoonmaaknormen!D287,0),"")</f>
        <v/>
      </c>
      <c r="BU287" s="275" t="str">
        <f ca="1">IF(BE287&gt;0,IF(ISNUMBER(Schoonmaaknormen!E287),Schoonmaaknormen!BE287/Schoonmaaknormen!E287,0),"")</f>
        <v/>
      </c>
      <c r="BV287" s="275" t="str">
        <f ca="1">IF(BF287&gt;0,IF(ISNUMBER(Schoonmaaknormen!F287),Schoonmaaknormen!BF287/Schoonmaaknormen!F287,0),"")</f>
        <v/>
      </c>
      <c r="BW287" s="275" t="str">
        <f ca="1">IF(BG287&gt;0,IF(ISNUMBER(Schoonmaaknormen!G287),Schoonmaaknormen!BG287/Schoonmaaknormen!G287,0),"")</f>
        <v/>
      </c>
      <c r="BX287" s="275" t="str">
        <f ca="1">IF(BH287&gt;0,IF(ISNUMBER(Schoonmaaknormen!H287),Schoonmaaknormen!BH287/Schoonmaaknormen!H287,0),"")</f>
        <v/>
      </c>
      <c r="BY287" s="276" t="str">
        <f ca="1">IF(BI287&gt;0,IF(ISNUMBER(Schoonmaaknormen!I287),Schoonmaaknormen!BI287/Schoonmaaknormen!I287,0),"")</f>
        <v/>
      </c>
      <c r="BZ287" s="276" t="str">
        <f ca="1">IF(BJ287&gt;0,IF(ISNUMBER(Schoonmaaknormen!J287),Schoonmaaknormen!BJ287/Schoonmaaknormen!J287,0),"")</f>
        <v/>
      </c>
      <c r="CA287" s="548"/>
      <c r="CB287" s="552"/>
    </row>
    <row r="288" spans="1:80" ht="0.2" customHeight="1" x14ac:dyDescent="0.2">
      <c r="A288" s="172">
        <f ca="1">Ruimtestaat!A288</f>
        <v>2</v>
      </c>
      <c r="B288" s="557"/>
      <c r="C288" s="11">
        <v>104</v>
      </c>
      <c r="D288" s="309"/>
      <c r="E288" s="310"/>
      <c r="F288" s="311"/>
      <c r="G288" s="310"/>
      <c r="H288" s="310"/>
      <c r="I288" s="312"/>
      <c r="J288" s="312"/>
      <c r="K288" s="561"/>
      <c r="L288" s="553"/>
      <c r="M288" s="172" t="b">
        <f>IF(_xlfn.XLOOKUP(BB288,Tabel2[Locatiecode],Tabel2[Type locatie],"",0)="vaccin",TRUE,FALSE)</f>
        <v>0</v>
      </c>
      <c r="BB288" s="278" t="str">
        <f>IF(Ruimtestaat!BC288="","",Ruimtestaat!BC288)</f>
        <v/>
      </c>
      <c r="BC288" s="279">
        <f t="shared" si="8"/>
        <v>104</v>
      </c>
      <c r="BD288" s="280">
        <f ca="1">Ruimtestaat!D288*$BC288</f>
        <v>0</v>
      </c>
      <c r="BE288" s="281">
        <f ca="1">Ruimtestaat!E288*$BC288</f>
        <v>0</v>
      </c>
      <c r="BF288" s="281">
        <f ca="1">Ruimtestaat!F288*$BC288</f>
        <v>0</v>
      </c>
      <c r="BG288" s="281">
        <f ca="1">Ruimtestaat!G288*$BC288</f>
        <v>0</v>
      </c>
      <c r="BH288" s="281">
        <f ca="1">Ruimtestaat!H288*$BC288</f>
        <v>0</v>
      </c>
      <c r="BI288" s="282">
        <f ca="1">Ruimtestaat!I288*$BC288</f>
        <v>0</v>
      </c>
      <c r="BJ288" s="283">
        <f ca="1">Ruimtestaat!J288*$BC288</f>
        <v>0</v>
      </c>
      <c r="BK288" s="553"/>
      <c r="BR288" s="278" t="str">
        <f>IF(Ruimtestaat!BC288="","",Ruimtestaat!BC288)</f>
        <v/>
      </c>
      <c r="BS288" s="313">
        <f t="shared" si="9"/>
        <v>104</v>
      </c>
      <c r="BT288" s="280" t="str">
        <f ca="1">IF(BD288&gt;0,IF(ISNUMBER(Schoonmaaknormen!D288),Schoonmaaknormen!BD288/Schoonmaaknormen!D288,0),"")</f>
        <v/>
      </c>
      <c r="BU288" s="314" t="str">
        <f ca="1">IF(BE288&gt;0,IF(ISNUMBER(Schoonmaaknormen!E288),Schoonmaaknormen!BE288/Schoonmaaknormen!E288,0),"")</f>
        <v/>
      </c>
      <c r="BV288" s="314" t="str">
        <f ca="1">IF(BF288&gt;0,IF(ISNUMBER(Schoonmaaknormen!F288),Schoonmaaknormen!BF288/Schoonmaaknormen!F288,0),"")</f>
        <v/>
      </c>
      <c r="BW288" s="314" t="str">
        <f ca="1">IF(BG288&gt;0,IF(ISNUMBER(Schoonmaaknormen!G288),Schoonmaaknormen!BG288/Schoonmaaknormen!G288,0),"")</f>
        <v/>
      </c>
      <c r="BX288" s="314" t="str">
        <f ca="1">IF(BH288&gt;0,IF(ISNUMBER(Schoonmaaknormen!H288),Schoonmaaknormen!BH288/Schoonmaaknormen!H288,0),"")</f>
        <v/>
      </c>
      <c r="BY288" s="282" t="str">
        <f ca="1">IF(BI288&gt;0,IF(ISNUMBER(Schoonmaaknormen!I288),Schoonmaaknormen!BI288/Schoonmaaknormen!I288,0),"")</f>
        <v/>
      </c>
      <c r="BZ288" s="282" t="str">
        <f ca="1">IF(BJ288&gt;0,IF(ISNUMBER(Schoonmaaknormen!J288),Schoonmaaknormen!BJ288/Schoonmaaknormen!J288,0),"")</f>
        <v/>
      </c>
      <c r="CA288" s="549"/>
      <c r="CB288" s="553"/>
    </row>
    <row r="289" spans="1:80" ht="0.2" customHeight="1" x14ac:dyDescent="0.2">
      <c r="A289" s="172">
        <f ca="1">Ruimtestaat!A289</f>
        <v>2</v>
      </c>
      <c r="B289" s="557"/>
      <c r="C289" s="11">
        <v>52</v>
      </c>
      <c r="D289" s="309"/>
      <c r="E289" s="310"/>
      <c r="F289" s="311"/>
      <c r="G289" s="310"/>
      <c r="H289" s="310"/>
      <c r="I289" s="312"/>
      <c r="J289" s="312"/>
      <c r="K289" s="561"/>
      <c r="L289" s="553"/>
      <c r="M289" s="172" t="b">
        <f>IF(_xlfn.XLOOKUP(BB289,Tabel2[Locatiecode],Tabel2[Type locatie],"",0)="vaccin",TRUE,FALSE)</f>
        <v>0</v>
      </c>
      <c r="BB289" s="284" t="str">
        <f>IF(Ruimtestaat!BC289="","",Ruimtestaat!BC289)</f>
        <v/>
      </c>
      <c r="BC289" s="285">
        <f t="shared" si="8"/>
        <v>52</v>
      </c>
      <c r="BD289" s="286">
        <f ca="1">Ruimtestaat!D289*$BC289</f>
        <v>0</v>
      </c>
      <c r="BE289" s="287">
        <f ca="1">Ruimtestaat!E289*$BC289</f>
        <v>0</v>
      </c>
      <c r="BF289" s="287">
        <f ca="1">Ruimtestaat!F289*$BC289</f>
        <v>0</v>
      </c>
      <c r="BG289" s="287">
        <f ca="1">Ruimtestaat!G289*$BC289</f>
        <v>0</v>
      </c>
      <c r="BH289" s="287">
        <f ca="1">Ruimtestaat!H289*$BC289</f>
        <v>0</v>
      </c>
      <c r="BI289" s="288">
        <f ca="1">Ruimtestaat!I289*$BC289</f>
        <v>0</v>
      </c>
      <c r="BJ289" s="289">
        <f ca="1">Ruimtestaat!J289*$BC289</f>
        <v>0</v>
      </c>
      <c r="BK289" s="553"/>
      <c r="BR289" s="284" t="str">
        <f>IF(Ruimtestaat!BC289="","",Ruimtestaat!BC289)</f>
        <v/>
      </c>
      <c r="BS289" s="285">
        <f t="shared" si="9"/>
        <v>52</v>
      </c>
      <c r="BT289" s="286" t="str">
        <f ca="1">IF(BD289&gt;0,IF(ISNUMBER(Schoonmaaknormen!D289),Schoonmaaknormen!BD289/Schoonmaaknormen!D289,0),"")</f>
        <v/>
      </c>
      <c r="BU289" s="287" t="str">
        <f ca="1">IF(BE289&gt;0,IF(ISNUMBER(Schoonmaaknormen!E289),Schoonmaaknormen!BE289/Schoonmaaknormen!E289,0),"")</f>
        <v/>
      </c>
      <c r="BV289" s="287" t="str">
        <f ca="1">IF(BF289&gt;0,IF(ISNUMBER(Schoonmaaknormen!F289),Schoonmaaknormen!BF289/Schoonmaaknormen!F289,0),"")</f>
        <v/>
      </c>
      <c r="BW289" s="287" t="str">
        <f ca="1">IF(BG289&gt;0,IF(ISNUMBER(Schoonmaaknormen!G289),Schoonmaaknormen!BG289/Schoonmaaknormen!G289,0),"")</f>
        <v/>
      </c>
      <c r="BX289" s="287" t="str">
        <f ca="1">IF(BH289&gt;0,IF(ISNUMBER(Schoonmaaknormen!H289),Schoonmaaknormen!BH289/Schoonmaaknormen!H289,0),"")</f>
        <v/>
      </c>
      <c r="BY289" s="288" t="str">
        <f ca="1">IF(BI289&gt;0,IF(ISNUMBER(Schoonmaaknormen!I289),Schoonmaaknormen!BI289/Schoonmaaknormen!I289,0),"")</f>
        <v/>
      </c>
      <c r="BZ289" s="288" t="str">
        <f ca="1">IF(BJ289&gt;0,IF(ISNUMBER(Schoonmaaknormen!J289),Schoonmaaknormen!BJ289/Schoonmaaknormen!J289,0),"")</f>
        <v/>
      </c>
      <c r="CA289" s="549"/>
      <c r="CB289" s="553"/>
    </row>
    <row r="290" spans="1:80" ht="0.2" customHeight="1" x14ac:dyDescent="0.2">
      <c r="A290" s="172">
        <f ca="1">Ruimtestaat!A290</f>
        <v>2</v>
      </c>
      <c r="B290" s="558"/>
      <c r="C290" s="290">
        <v>4</v>
      </c>
      <c r="D290" s="186"/>
      <c r="E290" s="187"/>
      <c r="F290" s="188"/>
      <c r="G290" s="187"/>
      <c r="H290" s="187"/>
      <c r="I290" s="189"/>
      <c r="J290" s="189"/>
      <c r="K290" s="562"/>
      <c r="L290" s="554"/>
      <c r="M290" s="172" t="b">
        <f>IF(_xlfn.XLOOKUP(BB290,Tabel2[Locatiecode],Tabel2[Type locatie],"",0)="vaccin",TRUE,FALSE)</f>
        <v>0</v>
      </c>
      <c r="BB290" s="291" t="str">
        <f>IF(Ruimtestaat!BC290="","",Ruimtestaat!BC290)</f>
        <v/>
      </c>
      <c r="BC290" s="292">
        <f t="shared" si="8"/>
        <v>4</v>
      </c>
      <c r="BD290" s="293">
        <f ca="1">Ruimtestaat!D290*$BC290</f>
        <v>0</v>
      </c>
      <c r="BE290" s="294">
        <f ca="1">Ruimtestaat!E290*$BC290</f>
        <v>0</v>
      </c>
      <c r="BF290" s="294">
        <f ca="1">Ruimtestaat!F290*$BC290</f>
        <v>0</v>
      </c>
      <c r="BG290" s="294">
        <f ca="1">Ruimtestaat!G290*$BC290</f>
        <v>0</v>
      </c>
      <c r="BH290" s="294">
        <f ca="1">Ruimtestaat!H290*$BC290</f>
        <v>0</v>
      </c>
      <c r="BI290" s="295">
        <f ca="1">Ruimtestaat!I290*$BC290</f>
        <v>0</v>
      </c>
      <c r="BJ290" s="296">
        <f ca="1">Ruimtestaat!J290*$BC290</f>
        <v>0</v>
      </c>
      <c r="BK290" s="554"/>
      <c r="BR290" s="291" t="str">
        <f>IF(Ruimtestaat!BC290="","",Ruimtestaat!BC290)</f>
        <v/>
      </c>
      <c r="BS290" s="292">
        <f t="shared" si="9"/>
        <v>4</v>
      </c>
      <c r="BT290" s="293" t="str">
        <f ca="1">IF(BD290&gt;0,IF(ISNUMBER(Schoonmaaknormen!D290),Schoonmaaknormen!BD290/Schoonmaaknormen!D290,0),"")</f>
        <v/>
      </c>
      <c r="BU290" s="294" t="str">
        <f ca="1">IF(BE290&gt;0,IF(ISNUMBER(Schoonmaaknormen!E290),Schoonmaaknormen!BE290/Schoonmaaknormen!E290,0),"")</f>
        <v/>
      </c>
      <c r="BV290" s="294" t="str">
        <f ca="1">IF(BF290&gt;0,IF(ISNUMBER(Schoonmaaknormen!F290),Schoonmaaknormen!BF290/Schoonmaaknormen!F290,0),"")</f>
        <v/>
      </c>
      <c r="BW290" s="294" t="str">
        <f ca="1">IF(BG290&gt;0,IF(ISNUMBER(Schoonmaaknormen!G290),Schoonmaaknormen!BG290/Schoonmaaknormen!G290,0),"")</f>
        <v/>
      </c>
      <c r="BX290" s="294" t="str">
        <f ca="1">IF(BH290&gt;0,IF(ISNUMBER(Schoonmaaknormen!H290),Schoonmaaknormen!BH290/Schoonmaaknormen!H290,0),"")</f>
        <v/>
      </c>
      <c r="BY290" s="295" t="str">
        <f ca="1">IF(BI290&gt;0,IF(ISNUMBER(Schoonmaaknormen!I290),Schoonmaaknormen!BI290/Schoonmaaknormen!I290,0),"")</f>
        <v/>
      </c>
      <c r="BZ290" s="295" t="str">
        <f ca="1">IF(BJ290&gt;0,IF(ISNUMBER(Schoonmaaknormen!J290),Schoonmaaknormen!BJ290/Schoonmaaknormen!J290,0),"")</f>
        <v/>
      </c>
      <c r="CA290" s="555"/>
      <c r="CB290" s="554"/>
    </row>
    <row r="291" spans="1:80" ht="0.2" customHeight="1" x14ac:dyDescent="0.2">
      <c r="A291" s="172">
        <f ca="1">Ruimtestaat!A291</f>
        <v>2</v>
      </c>
      <c r="B291" s="556" t="str">
        <f>BB291</f>
        <v/>
      </c>
      <c r="C291" s="298">
        <v>255</v>
      </c>
      <c r="D291" s="299"/>
      <c r="E291" s="300"/>
      <c r="F291" s="301"/>
      <c r="G291" s="300"/>
      <c r="H291" s="300"/>
      <c r="I291" s="302"/>
      <c r="J291" s="302"/>
      <c r="K291" s="559"/>
      <c r="L291" s="551" t="str" cm="1">
        <f t="array" aca="1" ref="L291" ca="1">_xlfn.IFS(A291=2,"",COUNTBLANK(D291:J296)=COUNTIF(Ruimtestaat!D291:J296,"&lt;=0"),BK291/CB291,TRUE,"")</f>
        <v/>
      </c>
      <c r="M291" s="172" t="b">
        <f>IF(_xlfn.XLOOKUP(BB291,Tabel2[Locatiecode],Tabel2[Type locatie],"",0)="vaccin",TRUE,FALSE)</f>
        <v>0</v>
      </c>
      <c r="BB291" s="303" t="str">
        <f>IF(Ruimtestaat!BC291="","",Ruimtestaat!BC291)</f>
        <v/>
      </c>
      <c r="BC291" s="304">
        <f t="shared" si="8"/>
        <v>255</v>
      </c>
      <c r="BD291" s="305">
        <f ca="1">Ruimtestaat!D291*$BC291</f>
        <v>0</v>
      </c>
      <c r="BE291" s="306">
        <f ca="1">Ruimtestaat!E291*$BC291</f>
        <v>0</v>
      </c>
      <c r="BF291" s="306">
        <f ca="1">Ruimtestaat!F291*$BC291</f>
        <v>0</v>
      </c>
      <c r="BG291" s="306">
        <f ca="1">Ruimtestaat!G291*$BC291</f>
        <v>0</v>
      </c>
      <c r="BH291" s="306">
        <f ca="1">Ruimtestaat!H291*$BC291</f>
        <v>0</v>
      </c>
      <c r="BI291" s="307">
        <f ca="1">Ruimtestaat!I291*$BC291</f>
        <v>0</v>
      </c>
      <c r="BJ291" s="308">
        <f ca="1">Ruimtestaat!J291*$BC291</f>
        <v>0</v>
      </c>
      <c r="BK291" s="552">
        <f ca="1">SUM(BD291:BJ296)</f>
        <v>0</v>
      </c>
      <c r="BR291" s="303" t="str">
        <f>IF(Ruimtestaat!BC291="","",Ruimtestaat!BC291)</f>
        <v/>
      </c>
      <c r="BS291" s="304">
        <f t="shared" si="9"/>
        <v>255</v>
      </c>
      <c r="BT291" s="305" t="str">
        <f ca="1">IF(BD291&gt;0,IF(ISNUMBER(Schoonmaaknormen!D291),Schoonmaaknormen!BD291/Schoonmaaknormen!D291,0),"")</f>
        <v/>
      </c>
      <c r="BU291" s="306" t="str">
        <f ca="1">IF(BE291&gt;0,IF(ISNUMBER(Schoonmaaknormen!E291),Schoonmaaknormen!BE291/Schoonmaaknormen!E291,0),"")</f>
        <v/>
      </c>
      <c r="BV291" s="306" t="str">
        <f ca="1">IF(BF291&gt;0,IF(ISNUMBER(Schoonmaaknormen!F291),Schoonmaaknormen!BF291/Schoonmaaknormen!F291,0),"")</f>
        <v/>
      </c>
      <c r="BW291" s="306" t="str">
        <f ca="1">IF(BG291&gt;0,IF(ISNUMBER(Schoonmaaknormen!G291),Schoonmaaknormen!BG291/Schoonmaaknormen!G291,0),"")</f>
        <v/>
      </c>
      <c r="BX291" s="306" t="str">
        <f ca="1">IF(BH291&gt;0,IF(ISNUMBER(Schoonmaaknormen!H291),Schoonmaaknormen!BH291/Schoonmaaknormen!H291,0),"")</f>
        <v/>
      </c>
      <c r="BY291" s="315" t="str">
        <f ca="1">IF(BI291&gt;0,IF(ISNUMBER(Schoonmaaknormen!I291),Schoonmaaknormen!BI291/Schoonmaaknormen!I291,0),"")</f>
        <v/>
      </c>
      <c r="BZ291" s="315" t="str">
        <f ca="1">IF(BJ291&gt;0,IF(ISNUMBER(Schoonmaaknormen!J291),Schoonmaaknormen!BJ291/Schoonmaaknormen!J291,0),"")</f>
        <v/>
      </c>
      <c r="CA291" s="547" t="str" cm="1">
        <f t="array" ref="CA291">IF(ISNUMBER(K291),IF(SUM(BT291:BZ296)/LARGE(_xlfn._xlws.FILTER(Ruimtestaat!BD:BD,Ruimtestaat!BC:BC=BR291),1)&lt;K291,K291*LARGE(_xlfn._xlws.FILTER(Ruimtestaat!BD:BD,Ruimtestaat!BC:BC=BR291),1)-SUM(BT291:BZ296),0),"")</f>
        <v/>
      </c>
      <c r="CB291" s="551">
        <f ca="1">SUM(BT291:CA296)</f>
        <v>0</v>
      </c>
    </row>
    <row r="292" spans="1:80" ht="0.2" customHeight="1" x14ac:dyDescent="0.2">
      <c r="A292" s="172">
        <f ca="1">Ruimtestaat!A292</f>
        <v>2</v>
      </c>
      <c r="B292" s="557"/>
      <c r="C292" s="11">
        <v>204</v>
      </c>
      <c r="D292" s="309"/>
      <c r="E292" s="310"/>
      <c r="F292" s="311"/>
      <c r="G292" s="310"/>
      <c r="H292" s="310"/>
      <c r="I292" s="312"/>
      <c r="J292" s="312"/>
      <c r="K292" s="560"/>
      <c r="L292" s="552"/>
      <c r="M292" s="172" t="b">
        <f>IF(_xlfn.XLOOKUP(BB292,Tabel2[Locatiecode],Tabel2[Type locatie],"",0)="vaccin",TRUE,FALSE)</f>
        <v>0</v>
      </c>
      <c r="BB292" s="272" t="str">
        <f>IF(Ruimtestaat!BC292="","",Ruimtestaat!BC292)</f>
        <v/>
      </c>
      <c r="BC292" s="273">
        <f t="shared" si="8"/>
        <v>204</v>
      </c>
      <c r="BD292" s="274">
        <f ca="1">Ruimtestaat!D292*$BC292</f>
        <v>0</v>
      </c>
      <c r="BE292" s="275">
        <f ca="1">Ruimtestaat!E292*$BC292</f>
        <v>0</v>
      </c>
      <c r="BF292" s="275">
        <f ca="1">Ruimtestaat!F292*$BC292</f>
        <v>0</v>
      </c>
      <c r="BG292" s="275">
        <f ca="1">Ruimtestaat!G292*$BC292</f>
        <v>0</v>
      </c>
      <c r="BH292" s="275">
        <f ca="1">Ruimtestaat!H292*$BC292</f>
        <v>0</v>
      </c>
      <c r="BI292" s="276">
        <f ca="1">Ruimtestaat!I292*$BC292</f>
        <v>0</v>
      </c>
      <c r="BJ292" s="277">
        <f ca="1">Ruimtestaat!J292*$BC292</f>
        <v>0</v>
      </c>
      <c r="BK292" s="552"/>
      <c r="BR292" s="272" t="str">
        <f>IF(Ruimtestaat!BC292="","",Ruimtestaat!BC292)</f>
        <v/>
      </c>
      <c r="BS292" s="273">
        <f t="shared" si="9"/>
        <v>204</v>
      </c>
      <c r="BT292" s="274" t="str">
        <f ca="1">IF(BD292&gt;0,IF(ISNUMBER(Schoonmaaknormen!D292),Schoonmaaknormen!BD292/Schoonmaaknormen!D292,0),"")</f>
        <v/>
      </c>
      <c r="BU292" s="275" t="str">
        <f ca="1">IF(BE292&gt;0,IF(ISNUMBER(Schoonmaaknormen!E292),Schoonmaaknormen!BE292/Schoonmaaknormen!E292,0),"")</f>
        <v/>
      </c>
      <c r="BV292" s="275" t="str">
        <f ca="1">IF(BF292&gt;0,IF(ISNUMBER(Schoonmaaknormen!F292),Schoonmaaknormen!BF292/Schoonmaaknormen!F292,0),"")</f>
        <v/>
      </c>
      <c r="BW292" s="275" t="str">
        <f ca="1">IF(BG292&gt;0,IF(ISNUMBER(Schoonmaaknormen!G292),Schoonmaaknormen!BG292/Schoonmaaknormen!G292,0),"")</f>
        <v/>
      </c>
      <c r="BX292" s="275" t="str">
        <f ca="1">IF(BH292&gt;0,IF(ISNUMBER(Schoonmaaknormen!H292),Schoonmaaknormen!BH292/Schoonmaaknormen!H292,0),"")</f>
        <v/>
      </c>
      <c r="BY292" s="276" t="str">
        <f ca="1">IF(BI292&gt;0,IF(ISNUMBER(Schoonmaaknormen!I292),Schoonmaaknormen!BI292/Schoonmaaknormen!I292,0),"")</f>
        <v/>
      </c>
      <c r="BZ292" s="276" t="str">
        <f ca="1">IF(BJ292&gt;0,IF(ISNUMBER(Schoonmaaknormen!J292),Schoonmaaknormen!BJ292/Schoonmaaknormen!J292,0),"")</f>
        <v/>
      </c>
      <c r="CA292" s="548"/>
      <c r="CB292" s="552"/>
    </row>
    <row r="293" spans="1:80" ht="0.2" customHeight="1" x14ac:dyDescent="0.2">
      <c r="A293" s="172">
        <f ca="1">Ruimtestaat!A293</f>
        <v>2</v>
      </c>
      <c r="B293" s="557"/>
      <c r="C293" s="11">
        <v>156</v>
      </c>
      <c r="D293" s="309"/>
      <c r="E293" s="310"/>
      <c r="F293" s="311"/>
      <c r="G293" s="310"/>
      <c r="H293" s="310"/>
      <c r="I293" s="312"/>
      <c r="J293" s="312"/>
      <c r="K293" s="560"/>
      <c r="L293" s="552"/>
      <c r="M293" s="172" t="b">
        <f>IF(_xlfn.XLOOKUP(BB293,Tabel2[Locatiecode],Tabel2[Type locatie],"",0)="vaccin",TRUE,FALSE)</f>
        <v>0</v>
      </c>
      <c r="BB293" s="272" t="str">
        <f>IF(Ruimtestaat!BC293="","",Ruimtestaat!BC293)</f>
        <v/>
      </c>
      <c r="BC293" s="273">
        <f t="shared" si="8"/>
        <v>156</v>
      </c>
      <c r="BD293" s="274">
        <f ca="1">Ruimtestaat!D293*$BC293</f>
        <v>0</v>
      </c>
      <c r="BE293" s="275">
        <f ca="1">Ruimtestaat!E293*$BC293</f>
        <v>0</v>
      </c>
      <c r="BF293" s="275">
        <f ca="1">Ruimtestaat!F293*$BC293</f>
        <v>0</v>
      </c>
      <c r="BG293" s="275">
        <f ca="1">Ruimtestaat!G293*$BC293</f>
        <v>0</v>
      </c>
      <c r="BH293" s="275">
        <f ca="1">Ruimtestaat!H293*$BC293</f>
        <v>0</v>
      </c>
      <c r="BI293" s="276">
        <f ca="1">Ruimtestaat!I293*$BC293</f>
        <v>0</v>
      </c>
      <c r="BJ293" s="277">
        <f ca="1">Ruimtestaat!J293*$BC293</f>
        <v>0</v>
      </c>
      <c r="BK293" s="552"/>
      <c r="BR293" s="272" t="str">
        <f>IF(Ruimtestaat!BC293="","",Ruimtestaat!BC293)</f>
        <v/>
      </c>
      <c r="BS293" s="273">
        <f t="shared" si="9"/>
        <v>156</v>
      </c>
      <c r="BT293" s="274" t="str">
        <f ca="1">IF(BD293&gt;0,IF(ISNUMBER(Schoonmaaknormen!D293),Schoonmaaknormen!BD293/Schoonmaaknormen!D293,0),"")</f>
        <v/>
      </c>
      <c r="BU293" s="275" t="str">
        <f ca="1">IF(BE293&gt;0,IF(ISNUMBER(Schoonmaaknormen!E293),Schoonmaaknormen!BE293/Schoonmaaknormen!E293,0),"")</f>
        <v/>
      </c>
      <c r="BV293" s="275" t="str">
        <f ca="1">IF(BF293&gt;0,IF(ISNUMBER(Schoonmaaknormen!F293),Schoonmaaknormen!BF293/Schoonmaaknormen!F293,0),"")</f>
        <v/>
      </c>
      <c r="BW293" s="275" t="str">
        <f ca="1">IF(BG293&gt;0,IF(ISNUMBER(Schoonmaaknormen!G293),Schoonmaaknormen!BG293/Schoonmaaknormen!G293,0),"")</f>
        <v/>
      </c>
      <c r="BX293" s="275" t="str">
        <f ca="1">IF(BH293&gt;0,IF(ISNUMBER(Schoonmaaknormen!H293),Schoonmaaknormen!BH293/Schoonmaaknormen!H293,0),"")</f>
        <v/>
      </c>
      <c r="BY293" s="276" t="str">
        <f ca="1">IF(BI293&gt;0,IF(ISNUMBER(Schoonmaaknormen!I293),Schoonmaaknormen!BI293/Schoonmaaknormen!I293,0),"")</f>
        <v/>
      </c>
      <c r="BZ293" s="276" t="str">
        <f ca="1">IF(BJ293&gt;0,IF(ISNUMBER(Schoonmaaknormen!J293),Schoonmaaknormen!BJ293/Schoonmaaknormen!J293,0),"")</f>
        <v/>
      </c>
      <c r="CA293" s="548"/>
      <c r="CB293" s="552"/>
    </row>
    <row r="294" spans="1:80" ht="0.2" customHeight="1" x14ac:dyDescent="0.2">
      <c r="A294" s="172">
        <f ca="1">Ruimtestaat!A294</f>
        <v>2</v>
      </c>
      <c r="B294" s="557"/>
      <c r="C294" s="11">
        <v>104</v>
      </c>
      <c r="D294" s="309"/>
      <c r="E294" s="310"/>
      <c r="F294" s="311"/>
      <c r="G294" s="310"/>
      <c r="H294" s="310"/>
      <c r="I294" s="312"/>
      <c r="J294" s="312"/>
      <c r="K294" s="561"/>
      <c r="L294" s="553"/>
      <c r="M294" s="172" t="b">
        <f>IF(_xlfn.XLOOKUP(BB294,Tabel2[Locatiecode],Tabel2[Type locatie],"",0)="vaccin",TRUE,FALSE)</f>
        <v>0</v>
      </c>
      <c r="BB294" s="278" t="str">
        <f>IF(Ruimtestaat!BC294="","",Ruimtestaat!BC294)</f>
        <v/>
      </c>
      <c r="BC294" s="279">
        <f t="shared" si="8"/>
        <v>104</v>
      </c>
      <c r="BD294" s="280">
        <f ca="1">Ruimtestaat!D294*$BC294</f>
        <v>0</v>
      </c>
      <c r="BE294" s="281">
        <f ca="1">Ruimtestaat!E294*$BC294</f>
        <v>0</v>
      </c>
      <c r="BF294" s="281">
        <f ca="1">Ruimtestaat!F294*$BC294</f>
        <v>0</v>
      </c>
      <c r="BG294" s="281">
        <f ca="1">Ruimtestaat!G294*$BC294</f>
        <v>0</v>
      </c>
      <c r="BH294" s="281">
        <f ca="1">Ruimtestaat!H294*$BC294</f>
        <v>0</v>
      </c>
      <c r="BI294" s="282">
        <f ca="1">Ruimtestaat!I294*$BC294</f>
        <v>0</v>
      </c>
      <c r="BJ294" s="283">
        <f ca="1">Ruimtestaat!J294*$BC294</f>
        <v>0</v>
      </c>
      <c r="BK294" s="553"/>
      <c r="BR294" s="278" t="str">
        <f>IF(Ruimtestaat!BC294="","",Ruimtestaat!BC294)</f>
        <v/>
      </c>
      <c r="BS294" s="313">
        <f t="shared" si="9"/>
        <v>104</v>
      </c>
      <c r="BT294" s="280" t="str">
        <f ca="1">IF(BD294&gt;0,IF(ISNUMBER(Schoonmaaknormen!D294),Schoonmaaknormen!BD294/Schoonmaaknormen!D294,0),"")</f>
        <v/>
      </c>
      <c r="BU294" s="314" t="str">
        <f ca="1">IF(BE294&gt;0,IF(ISNUMBER(Schoonmaaknormen!E294),Schoonmaaknormen!BE294/Schoonmaaknormen!E294,0),"")</f>
        <v/>
      </c>
      <c r="BV294" s="314" t="str">
        <f ca="1">IF(BF294&gt;0,IF(ISNUMBER(Schoonmaaknormen!F294),Schoonmaaknormen!BF294/Schoonmaaknormen!F294,0),"")</f>
        <v/>
      </c>
      <c r="BW294" s="314" t="str">
        <f ca="1">IF(BG294&gt;0,IF(ISNUMBER(Schoonmaaknormen!G294),Schoonmaaknormen!BG294/Schoonmaaknormen!G294,0),"")</f>
        <v/>
      </c>
      <c r="BX294" s="314" t="str">
        <f ca="1">IF(BH294&gt;0,IF(ISNUMBER(Schoonmaaknormen!H294),Schoonmaaknormen!BH294/Schoonmaaknormen!H294,0),"")</f>
        <v/>
      </c>
      <c r="BY294" s="282" t="str">
        <f ca="1">IF(BI294&gt;0,IF(ISNUMBER(Schoonmaaknormen!I294),Schoonmaaknormen!BI294/Schoonmaaknormen!I294,0),"")</f>
        <v/>
      </c>
      <c r="BZ294" s="282" t="str">
        <f ca="1">IF(BJ294&gt;0,IF(ISNUMBER(Schoonmaaknormen!J294),Schoonmaaknormen!BJ294/Schoonmaaknormen!J294,0),"")</f>
        <v/>
      </c>
      <c r="CA294" s="549"/>
      <c r="CB294" s="553"/>
    </row>
    <row r="295" spans="1:80" ht="0.2" customHeight="1" x14ac:dyDescent="0.2">
      <c r="A295" s="172">
        <f ca="1">Ruimtestaat!A295</f>
        <v>2</v>
      </c>
      <c r="B295" s="557"/>
      <c r="C295" s="11">
        <v>52</v>
      </c>
      <c r="D295" s="309"/>
      <c r="E295" s="310"/>
      <c r="F295" s="311"/>
      <c r="G295" s="310"/>
      <c r="H295" s="310"/>
      <c r="I295" s="312"/>
      <c r="J295" s="312"/>
      <c r="K295" s="561"/>
      <c r="L295" s="553"/>
      <c r="M295" s="172" t="b">
        <f>IF(_xlfn.XLOOKUP(BB295,Tabel2[Locatiecode],Tabel2[Type locatie],"",0)="vaccin",TRUE,FALSE)</f>
        <v>0</v>
      </c>
      <c r="BB295" s="284" t="str">
        <f>IF(Ruimtestaat!BC295="","",Ruimtestaat!BC295)</f>
        <v/>
      </c>
      <c r="BC295" s="285">
        <f t="shared" si="8"/>
        <v>52</v>
      </c>
      <c r="BD295" s="286">
        <f ca="1">Ruimtestaat!D295*$BC295</f>
        <v>0</v>
      </c>
      <c r="BE295" s="287">
        <f ca="1">Ruimtestaat!E295*$BC295</f>
        <v>0</v>
      </c>
      <c r="BF295" s="287">
        <f ca="1">Ruimtestaat!F295*$BC295</f>
        <v>0</v>
      </c>
      <c r="BG295" s="287">
        <f ca="1">Ruimtestaat!G295*$BC295</f>
        <v>0</v>
      </c>
      <c r="BH295" s="287">
        <f ca="1">Ruimtestaat!H295*$BC295</f>
        <v>0</v>
      </c>
      <c r="BI295" s="288">
        <f ca="1">Ruimtestaat!I295*$BC295</f>
        <v>0</v>
      </c>
      <c r="BJ295" s="289">
        <f ca="1">Ruimtestaat!J295*$BC295</f>
        <v>0</v>
      </c>
      <c r="BK295" s="553"/>
      <c r="BR295" s="284" t="str">
        <f>IF(Ruimtestaat!BC295="","",Ruimtestaat!BC295)</f>
        <v/>
      </c>
      <c r="BS295" s="285">
        <f t="shared" si="9"/>
        <v>52</v>
      </c>
      <c r="BT295" s="286" t="str">
        <f ca="1">IF(BD295&gt;0,IF(ISNUMBER(Schoonmaaknormen!D295),Schoonmaaknormen!BD295/Schoonmaaknormen!D295,0),"")</f>
        <v/>
      </c>
      <c r="BU295" s="287" t="str">
        <f ca="1">IF(BE295&gt;0,IF(ISNUMBER(Schoonmaaknormen!E295),Schoonmaaknormen!BE295/Schoonmaaknormen!E295,0),"")</f>
        <v/>
      </c>
      <c r="BV295" s="287" t="str">
        <f ca="1">IF(BF295&gt;0,IF(ISNUMBER(Schoonmaaknormen!F295),Schoonmaaknormen!BF295/Schoonmaaknormen!F295,0),"")</f>
        <v/>
      </c>
      <c r="BW295" s="287" t="str">
        <f ca="1">IF(BG295&gt;0,IF(ISNUMBER(Schoonmaaknormen!G295),Schoonmaaknormen!BG295/Schoonmaaknormen!G295,0),"")</f>
        <v/>
      </c>
      <c r="BX295" s="287" t="str">
        <f ca="1">IF(BH295&gt;0,IF(ISNUMBER(Schoonmaaknormen!H295),Schoonmaaknormen!BH295/Schoonmaaknormen!H295,0),"")</f>
        <v/>
      </c>
      <c r="BY295" s="288" t="str">
        <f ca="1">IF(BI295&gt;0,IF(ISNUMBER(Schoonmaaknormen!I295),Schoonmaaknormen!BI295/Schoonmaaknormen!I295,0),"")</f>
        <v/>
      </c>
      <c r="BZ295" s="288" t="str">
        <f ca="1">IF(BJ295&gt;0,IF(ISNUMBER(Schoonmaaknormen!J295),Schoonmaaknormen!BJ295/Schoonmaaknormen!J295,0),"")</f>
        <v/>
      </c>
      <c r="CA295" s="549"/>
      <c r="CB295" s="553"/>
    </row>
    <row r="296" spans="1:80" ht="0.2" customHeight="1" x14ac:dyDescent="0.2">
      <c r="A296" s="172">
        <f ca="1">Ruimtestaat!A296</f>
        <v>2</v>
      </c>
      <c r="B296" s="558"/>
      <c r="C296" s="290">
        <v>4</v>
      </c>
      <c r="D296" s="186"/>
      <c r="E296" s="187"/>
      <c r="F296" s="188"/>
      <c r="G296" s="187"/>
      <c r="H296" s="187"/>
      <c r="I296" s="189"/>
      <c r="J296" s="189"/>
      <c r="K296" s="562"/>
      <c r="L296" s="554"/>
      <c r="M296" s="172" t="b">
        <f>IF(_xlfn.XLOOKUP(BB296,Tabel2[Locatiecode],Tabel2[Type locatie],"",0)="vaccin",TRUE,FALSE)</f>
        <v>0</v>
      </c>
      <c r="BB296" s="291" t="str">
        <f>IF(Ruimtestaat!BC296="","",Ruimtestaat!BC296)</f>
        <v/>
      </c>
      <c r="BC296" s="292">
        <f t="shared" si="8"/>
        <v>4</v>
      </c>
      <c r="BD296" s="293">
        <f ca="1">Ruimtestaat!D296*$BC296</f>
        <v>0</v>
      </c>
      <c r="BE296" s="294">
        <f ca="1">Ruimtestaat!E296*$BC296</f>
        <v>0</v>
      </c>
      <c r="BF296" s="294">
        <f ca="1">Ruimtestaat!F296*$BC296</f>
        <v>0</v>
      </c>
      <c r="BG296" s="294">
        <f ca="1">Ruimtestaat!G296*$BC296</f>
        <v>0</v>
      </c>
      <c r="BH296" s="294">
        <f ca="1">Ruimtestaat!H296*$BC296</f>
        <v>0</v>
      </c>
      <c r="BI296" s="295">
        <f ca="1">Ruimtestaat!I296*$BC296</f>
        <v>0</v>
      </c>
      <c r="BJ296" s="296">
        <f ca="1">Ruimtestaat!J296*$BC296</f>
        <v>0</v>
      </c>
      <c r="BK296" s="554"/>
      <c r="BR296" s="291" t="str">
        <f>IF(Ruimtestaat!BC296="","",Ruimtestaat!BC296)</f>
        <v/>
      </c>
      <c r="BS296" s="292">
        <f t="shared" si="9"/>
        <v>4</v>
      </c>
      <c r="BT296" s="293" t="str">
        <f ca="1">IF(BD296&gt;0,IF(ISNUMBER(Schoonmaaknormen!D296),Schoonmaaknormen!BD296/Schoonmaaknormen!D296,0),"")</f>
        <v/>
      </c>
      <c r="BU296" s="294" t="str">
        <f ca="1">IF(BE296&gt;0,IF(ISNUMBER(Schoonmaaknormen!E296),Schoonmaaknormen!BE296/Schoonmaaknormen!E296,0),"")</f>
        <v/>
      </c>
      <c r="BV296" s="294" t="str">
        <f ca="1">IF(BF296&gt;0,IF(ISNUMBER(Schoonmaaknormen!F296),Schoonmaaknormen!BF296/Schoonmaaknormen!F296,0),"")</f>
        <v/>
      </c>
      <c r="BW296" s="294" t="str">
        <f ca="1">IF(BG296&gt;0,IF(ISNUMBER(Schoonmaaknormen!G296),Schoonmaaknormen!BG296/Schoonmaaknormen!G296,0),"")</f>
        <v/>
      </c>
      <c r="BX296" s="294" t="str">
        <f ca="1">IF(BH296&gt;0,IF(ISNUMBER(Schoonmaaknormen!H296),Schoonmaaknormen!BH296/Schoonmaaknormen!H296,0),"")</f>
        <v/>
      </c>
      <c r="BY296" s="295" t="str">
        <f ca="1">IF(BI296&gt;0,IF(ISNUMBER(Schoonmaaknormen!I296),Schoonmaaknormen!BI296/Schoonmaaknormen!I296,0),"")</f>
        <v/>
      </c>
      <c r="BZ296" s="295" t="str">
        <f ca="1">IF(BJ296&gt;0,IF(ISNUMBER(Schoonmaaknormen!J296),Schoonmaaknormen!BJ296/Schoonmaaknormen!J296,0),"")</f>
        <v/>
      </c>
      <c r="CA296" s="555"/>
      <c r="CB296" s="554"/>
    </row>
    <row r="297" spans="1:80" ht="0.2" customHeight="1" x14ac:dyDescent="0.2">
      <c r="A297" s="172">
        <f ca="1">Ruimtestaat!A297</f>
        <v>2</v>
      </c>
      <c r="B297" s="556" t="str">
        <f>BB297</f>
        <v/>
      </c>
      <c r="C297" s="298">
        <v>255</v>
      </c>
      <c r="D297" s="299"/>
      <c r="E297" s="300"/>
      <c r="F297" s="301"/>
      <c r="G297" s="300"/>
      <c r="H297" s="300"/>
      <c r="I297" s="302"/>
      <c r="J297" s="302"/>
      <c r="K297" s="559"/>
      <c r="L297" s="551" t="str" cm="1">
        <f t="array" aca="1" ref="L297" ca="1">_xlfn.IFS(A297=2,"",COUNTBLANK(D297:J302)=COUNTIF(Ruimtestaat!D297:J302,"&lt;=0"),BK297/CB297,TRUE,"")</f>
        <v/>
      </c>
      <c r="M297" s="172" t="b">
        <f>IF(_xlfn.XLOOKUP(BB297,Tabel2[Locatiecode],Tabel2[Type locatie],"",0)="vaccin",TRUE,FALSE)</f>
        <v>0</v>
      </c>
      <c r="BB297" s="303" t="str">
        <f>IF(Ruimtestaat!BC297="","",Ruimtestaat!BC297)</f>
        <v/>
      </c>
      <c r="BC297" s="304">
        <f t="shared" si="8"/>
        <v>255</v>
      </c>
      <c r="BD297" s="305">
        <f ca="1">Ruimtestaat!D297*$BC297</f>
        <v>0</v>
      </c>
      <c r="BE297" s="306">
        <f ca="1">Ruimtestaat!E297*$BC297</f>
        <v>0</v>
      </c>
      <c r="BF297" s="306">
        <f ca="1">Ruimtestaat!F297*$BC297</f>
        <v>0</v>
      </c>
      <c r="BG297" s="306">
        <f ca="1">Ruimtestaat!G297*$BC297</f>
        <v>0</v>
      </c>
      <c r="BH297" s="306">
        <f ca="1">Ruimtestaat!H297*$BC297</f>
        <v>0</v>
      </c>
      <c r="BI297" s="307">
        <f ca="1">Ruimtestaat!I297*$BC297</f>
        <v>0</v>
      </c>
      <c r="BJ297" s="308">
        <f ca="1">Ruimtestaat!J297*$BC297</f>
        <v>0</v>
      </c>
      <c r="BK297" s="552">
        <f ca="1">SUM(BD297:BJ302)</f>
        <v>0</v>
      </c>
      <c r="BR297" s="303" t="str">
        <f>IF(Ruimtestaat!BC297="","",Ruimtestaat!BC297)</f>
        <v/>
      </c>
      <c r="BS297" s="304">
        <f t="shared" si="9"/>
        <v>255</v>
      </c>
      <c r="BT297" s="305" t="str">
        <f ca="1">IF(BD297&gt;0,IF(ISNUMBER(Schoonmaaknormen!D297),Schoonmaaknormen!BD297/Schoonmaaknormen!D297,0),"")</f>
        <v/>
      </c>
      <c r="BU297" s="306" t="str">
        <f ca="1">IF(BE297&gt;0,IF(ISNUMBER(Schoonmaaknormen!E297),Schoonmaaknormen!BE297/Schoonmaaknormen!E297,0),"")</f>
        <v/>
      </c>
      <c r="BV297" s="306" t="str">
        <f ca="1">IF(BF297&gt;0,IF(ISNUMBER(Schoonmaaknormen!F297),Schoonmaaknormen!BF297/Schoonmaaknormen!F297,0),"")</f>
        <v/>
      </c>
      <c r="BW297" s="306" t="str">
        <f ca="1">IF(BG297&gt;0,IF(ISNUMBER(Schoonmaaknormen!G297),Schoonmaaknormen!BG297/Schoonmaaknormen!G297,0),"")</f>
        <v/>
      </c>
      <c r="BX297" s="306" t="str">
        <f ca="1">IF(BH297&gt;0,IF(ISNUMBER(Schoonmaaknormen!H297),Schoonmaaknormen!BH297/Schoonmaaknormen!H297,0),"")</f>
        <v/>
      </c>
      <c r="BY297" s="315" t="str">
        <f ca="1">IF(BI297&gt;0,IF(ISNUMBER(Schoonmaaknormen!I297),Schoonmaaknormen!BI297/Schoonmaaknormen!I297,0),"")</f>
        <v/>
      </c>
      <c r="BZ297" s="315" t="str">
        <f ca="1">IF(BJ297&gt;0,IF(ISNUMBER(Schoonmaaknormen!J297),Schoonmaaknormen!BJ297/Schoonmaaknormen!J297,0),"")</f>
        <v/>
      </c>
      <c r="CA297" s="547" t="str" cm="1">
        <f t="array" ref="CA297">IF(ISNUMBER(K297),IF(SUM(BT297:BZ302)/LARGE(_xlfn._xlws.FILTER(Ruimtestaat!BD:BD,Ruimtestaat!BC:BC=BR297),1)&lt;K297,K297*LARGE(_xlfn._xlws.FILTER(Ruimtestaat!BD:BD,Ruimtestaat!BC:BC=BR297),1)-SUM(BT297:BZ302),0),"")</f>
        <v/>
      </c>
      <c r="CB297" s="551">
        <f ca="1">SUM(BT297:CA302)</f>
        <v>0</v>
      </c>
    </row>
    <row r="298" spans="1:80" ht="0.2" customHeight="1" x14ac:dyDescent="0.2">
      <c r="A298" s="172">
        <f ca="1">Ruimtestaat!A298</f>
        <v>2</v>
      </c>
      <c r="B298" s="557"/>
      <c r="C298" s="11">
        <v>204</v>
      </c>
      <c r="D298" s="309"/>
      <c r="E298" s="310"/>
      <c r="F298" s="311"/>
      <c r="G298" s="310"/>
      <c r="H298" s="310"/>
      <c r="I298" s="312"/>
      <c r="J298" s="312"/>
      <c r="K298" s="560"/>
      <c r="L298" s="552"/>
      <c r="M298" s="172" t="b">
        <f>IF(_xlfn.XLOOKUP(BB298,Tabel2[Locatiecode],Tabel2[Type locatie],"",0)="vaccin",TRUE,FALSE)</f>
        <v>0</v>
      </c>
      <c r="BB298" s="272" t="str">
        <f>IF(Ruimtestaat!BC298="","",Ruimtestaat!BC298)</f>
        <v/>
      </c>
      <c r="BC298" s="273">
        <f t="shared" si="8"/>
        <v>204</v>
      </c>
      <c r="BD298" s="274">
        <f ca="1">Ruimtestaat!D298*$BC298</f>
        <v>0</v>
      </c>
      <c r="BE298" s="275">
        <f ca="1">Ruimtestaat!E298*$BC298</f>
        <v>0</v>
      </c>
      <c r="BF298" s="275">
        <f ca="1">Ruimtestaat!F298*$BC298</f>
        <v>0</v>
      </c>
      <c r="BG298" s="275">
        <f ca="1">Ruimtestaat!G298*$BC298</f>
        <v>0</v>
      </c>
      <c r="BH298" s="275">
        <f ca="1">Ruimtestaat!H298*$BC298</f>
        <v>0</v>
      </c>
      <c r="BI298" s="276">
        <f ca="1">Ruimtestaat!I298*$BC298</f>
        <v>0</v>
      </c>
      <c r="BJ298" s="277">
        <f ca="1">Ruimtestaat!J298*$BC298</f>
        <v>0</v>
      </c>
      <c r="BK298" s="552"/>
      <c r="BR298" s="272" t="str">
        <f>IF(Ruimtestaat!BC298="","",Ruimtestaat!BC298)</f>
        <v/>
      </c>
      <c r="BS298" s="273">
        <f t="shared" si="9"/>
        <v>204</v>
      </c>
      <c r="BT298" s="274" t="str">
        <f ca="1">IF(BD298&gt;0,IF(ISNUMBER(Schoonmaaknormen!D298),Schoonmaaknormen!BD298/Schoonmaaknormen!D298,0),"")</f>
        <v/>
      </c>
      <c r="BU298" s="275" t="str">
        <f ca="1">IF(BE298&gt;0,IF(ISNUMBER(Schoonmaaknormen!E298),Schoonmaaknormen!BE298/Schoonmaaknormen!E298,0),"")</f>
        <v/>
      </c>
      <c r="BV298" s="275" t="str">
        <f ca="1">IF(BF298&gt;0,IF(ISNUMBER(Schoonmaaknormen!F298),Schoonmaaknormen!BF298/Schoonmaaknormen!F298,0),"")</f>
        <v/>
      </c>
      <c r="BW298" s="275" t="str">
        <f ca="1">IF(BG298&gt;0,IF(ISNUMBER(Schoonmaaknormen!G298),Schoonmaaknormen!BG298/Schoonmaaknormen!G298,0),"")</f>
        <v/>
      </c>
      <c r="BX298" s="275" t="str">
        <f ca="1">IF(BH298&gt;0,IF(ISNUMBER(Schoonmaaknormen!H298),Schoonmaaknormen!BH298/Schoonmaaknormen!H298,0),"")</f>
        <v/>
      </c>
      <c r="BY298" s="276" t="str">
        <f ca="1">IF(BI298&gt;0,IF(ISNUMBER(Schoonmaaknormen!I298),Schoonmaaknormen!BI298/Schoonmaaknormen!I298,0),"")</f>
        <v/>
      </c>
      <c r="BZ298" s="276" t="str">
        <f ca="1">IF(BJ298&gt;0,IF(ISNUMBER(Schoonmaaknormen!J298),Schoonmaaknormen!BJ298/Schoonmaaknormen!J298,0),"")</f>
        <v/>
      </c>
      <c r="CA298" s="548"/>
      <c r="CB298" s="552"/>
    </row>
    <row r="299" spans="1:80" ht="0.2" customHeight="1" x14ac:dyDescent="0.2">
      <c r="A299" s="172">
        <f ca="1">Ruimtestaat!A299</f>
        <v>2</v>
      </c>
      <c r="B299" s="557"/>
      <c r="C299" s="11">
        <v>156</v>
      </c>
      <c r="D299" s="309"/>
      <c r="E299" s="310"/>
      <c r="F299" s="311"/>
      <c r="G299" s="310"/>
      <c r="H299" s="310"/>
      <c r="I299" s="312"/>
      <c r="J299" s="312"/>
      <c r="K299" s="560"/>
      <c r="L299" s="552"/>
      <c r="M299" s="172" t="b">
        <f>IF(_xlfn.XLOOKUP(BB299,Tabel2[Locatiecode],Tabel2[Type locatie],"",0)="vaccin",TRUE,FALSE)</f>
        <v>0</v>
      </c>
      <c r="BB299" s="272" t="str">
        <f>IF(Ruimtestaat!BC299="","",Ruimtestaat!BC299)</f>
        <v/>
      </c>
      <c r="BC299" s="273">
        <f t="shared" si="8"/>
        <v>156</v>
      </c>
      <c r="BD299" s="274">
        <f ca="1">Ruimtestaat!D299*$BC299</f>
        <v>0</v>
      </c>
      <c r="BE299" s="275">
        <f ca="1">Ruimtestaat!E299*$BC299</f>
        <v>0</v>
      </c>
      <c r="BF299" s="275">
        <f ca="1">Ruimtestaat!F299*$BC299</f>
        <v>0</v>
      </c>
      <c r="BG299" s="275">
        <f ca="1">Ruimtestaat!G299*$BC299</f>
        <v>0</v>
      </c>
      <c r="BH299" s="275">
        <f ca="1">Ruimtestaat!H299*$BC299</f>
        <v>0</v>
      </c>
      <c r="BI299" s="276">
        <f ca="1">Ruimtestaat!I299*$BC299</f>
        <v>0</v>
      </c>
      <c r="BJ299" s="277">
        <f ca="1">Ruimtestaat!J299*$BC299</f>
        <v>0</v>
      </c>
      <c r="BK299" s="552"/>
      <c r="BR299" s="272" t="str">
        <f>IF(Ruimtestaat!BC299="","",Ruimtestaat!BC299)</f>
        <v/>
      </c>
      <c r="BS299" s="273">
        <f t="shared" si="9"/>
        <v>156</v>
      </c>
      <c r="BT299" s="274" t="str">
        <f ca="1">IF(BD299&gt;0,IF(ISNUMBER(Schoonmaaknormen!D299),Schoonmaaknormen!BD299/Schoonmaaknormen!D299,0),"")</f>
        <v/>
      </c>
      <c r="BU299" s="275" t="str">
        <f ca="1">IF(BE299&gt;0,IF(ISNUMBER(Schoonmaaknormen!E299),Schoonmaaknormen!BE299/Schoonmaaknormen!E299,0),"")</f>
        <v/>
      </c>
      <c r="BV299" s="275" t="str">
        <f ca="1">IF(BF299&gt;0,IF(ISNUMBER(Schoonmaaknormen!F299),Schoonmaaknormen!BF299/Schoonmaaknormen!F299,0),"")</f>
        <v/>
      </c>
      <c r="BW299" s="275" t="str">
        <f ca="1">IF(BG299&gt;0,IF(ISNUMBER(Schoonmaaknormen!G299),Schoonmaaknormen!BG299/Schoonmaaknormen!G299,0),"")</f>
        <v/>
      </c>
      <c r="BX299" s="275" t="str">
        <f ca="1">IF(BH299&gt;0,IF(ISNUMBER(Schoonmaaknormen!H299),Schoonmaaknormen!BH299/Schoonmaaknormen!H299,0),"")</f>
        <v/>
      </c>
      <c r="BY299" s="276" t="str">
        <f ca="1">IF(BI299&gt;0,IF(ISNUMBER(Schoonmaaknormen!I299),Schoonmaaknormen!BI299/Schoonmaaknormen!I299,0),"")</f>
        <v/>
      </c>
      <c r="BZ299" s="276" t="str">
        <f ca="1">IF(BJ299&gt;0,IF(ISNUMBER(Schoonmaaknormen!J299),Schoonmaaknormen!BJ299/Schoonmaaknormen!J299,0),"")</f>
        <v/>
      </c>
      <c r="CA299" s="548"/>
      <c r="CB299" s="552"/>
    </row>
    <row r="300" spans="1:80" ht="0.2" customHeight="1" x14ac:dyDescent="0.2">
      <c r="A300" s="172">
        <f ca="1">Ruimtestaat!A300</f>
        <v>2</v>
      </c>
      <c r="B300" s="557"/>
      <c r="C300" s="11">
        <v>104</v>
      </c>
      <c r="D300" s="309"/>
      <c r="E300" s="310"/>
      <c r="F300" s="311"/>
      <c r="G300" s="310"/>
      <c r="H300" s="310"/>
      <c r="I300" s="312"/>
      <c r="J300" s="312"/>
      <c r="K300" s="561"/>
      <c r="L300" s="553"/>
      <c r="M300" s="172" t="b">
        <f>IF(_xlfn.XLOOKUP(BB300,Tabel2[Locatiecode],Tabel2[Type locatie],"",0)="vaccin",TRUE,FALSE)</f>
        <v>0</v>
      </c>
      <c r="BB300" s="278" t="str">
        <f>IF(Ruimtestaat!BC300="","",Ruimtestaat!BC300)</f>
        <v/>
      </c>
      <c r="BC300" s="279">
        <f t="shared" si="8"/>
        <v>104</v>
      </c>
      <c r="BD300" s="280">
        <f ca="1">Ruimtestaat!D300*$BC300</f>
        <v>0</v>
      </c>
      <c r="BE300" s="281">
        <f ca="1">Ruimtestaat!E300*$BC300</f>
        <v>0</v>
      </c>
      <c r="BF300" s="281">
        <f ca="1">Ruimtestaat!F300*$BC300</f>
        <v>0</v>
      </c>
      <c r="BG300" s="281">
        <f ca="1">Ruimtestaat!G300*$BC300</f>
        <v>0</v>
      </c>
      <c r="BH300" s="281">
        <f ca="1">Ruimtestaat!H300*$BC300</f>
        <v>0</v>
      </c>
      <c r="BI300" s="282">
        <f ca="1">Ruimtestaat!I300*$BC300</f>
        <v>0</v>
      </c>
      <c r="BJ300" s="283">
        <f ca="1">Ruimtestaat!J300*$BC300</f>
        <v>0</v>
      </c>
      <c r="BK300" s="553"/>
      <c r="BR300" s="278" t="str">
        <f>IF(Ruimtestaat!BC300="","",Ruimtestaat!BC300)</f>
        <v/>
      </c>
      <c r="BS300" s="313">
        <f t="shared" si="9"/>
        <v>104</v>
      </c>
      <c r="BT300" s="280" t="str">
        <f ca="1">IF(BD300&gt;0,IF(ISNUMBER(Schoonmaaknormen!D300),Schoonmaaknormen!BD300/Schoonmaaknormen!D300,0),"")</f>
        <v/>
      </c>
      <c r="BU300" s="314" t="str">
        <f ca="1">IF(BE300&gt;0,IF(ISNUMBER(Schoonmaaknormen!E300),Schoonmaaknormen!BE300/Schoonmaaknormen!E300,0),"")</f>
        <v/>
      </c>
      <c r="BV300" s="314" t="str">
        <f ca="1">IF(BF300&gt;0,IF(ISNUMBER(Schoonmaaknormen!F300),Schoonmaaknormen!BF300/Schoonmaaknormen!F300,0),"")</f>
        <v/>
      </c>
      <c r="BW300" s="314" t="str">
        <f ca="1">IF(BG300&gt;0,IF(ISNUMBER(Schoonmaaknormen!G300),Schoonmaaknormen!BG300/Schoonmaaknormen!G300,0),"")</f>
        <v/>
      </c>
      <c r="BX300" s="314" t="str">
        <f ca="1">IF(BH300&gt;0,IF(ISNUMBER(Schoonmaaknormen!H300),Schoonmaaknormen!BH300/Schoonmaaknormen!H300,0),"")</f>
        <v/>
      </c>
      <c r="BY300" s="282" t="str">
        <f ca="1">IF(BI300&gt;0,IF(ISNUMBER(Schoonmaaknormen!I300),Schoonmaaknormen!BI300/Schoonmaaknormen!I300,0),"")</f>
        <v/>
      </c>
      <c r="BZ300" s="282" t="str">
        <f ca="1">IF(BJ300&gt;0,IF(ISNUMBER(Schoonmaaknormen!J300),Schoonmaaknormen!BJ300/Schoonmaaknormen!J300,0),"")</f>
        <v/>
      </c>
      <c r="CA300" s="549"/>
      <c r="CB300" s="553"/>
    </row>
    <row r="301" spans="1:80" ht="0.2" customHeight="1" x14ac:dyDescent="0.2">
      <c r="A301" s="172">
        <f ca="1">Ruimtestaat!A301</f>
        <v>2</v>
      </c>
      <c r="B301" s="557"/>
      <c r="C301" s="11">
        <v>52</v>
      </c>
      <c r="D301" s="309"/>
      <c r="E301" s="310"/>
      <c r="F301" s="311"/>
      <c r="G301" s="310"/>
      <c r="H301" s="310"/>
      <c r="I301" s="312"/>
      <c r="J301" s="312"/>
      <c r="K301" s="561"/>
      <c r="L301" s="553"/>
      <c r="M301" s="172" t="b">
        <f>IF(_xlfn.XLOOKUP(BB301,Tabel2[Locatiecode],Tabel2[Type locatie],"",0)="vaccin",TRUE,FALSE)</f>
        <v>0</v>
      </c>
      <c r="BB301" s="284" t="str">
        <f>IF(Ruimtestaat!BC301="","",Ruimtestaat!BC301)</f>
        <v/>
      </c>
      <c r="BC301" s="285">
        <f t="shared" si="8"/>
        <v>52</v>
      </c>
      <c r="BD301" s="286">
        <f ca="1">Ruimtestaat!D301*$BC301</f>
        <v>0</v>
      </c>
      <c r="BE301" s="287">
        <f ca="1">Ruimtestaat!E301*$BC301</f>
        <v>0</v>
      </c>
      <c r="BF301" s="287">
        <f ca="1">Ruimtestaat!F301*$BC301</f>
        <v>0</v>
      </c>
      <c r="BG301" s="287">
        <f ca="1">Ruimtestaat!G301*$BC301</f>
        <v>0</v>
      </c>
      <c r="BH301" s="287">
        <f ca="1">Ruimtestaat!H301*$BC301</f>
        <v>0</v>
      </c>
      <c r="BI301" s="288">
        <f ca="1">Ruimtestaat!I301*$BC301</f>
        <v>0</v>
      </c>
      <c r="BJ301" s="289">
        <f ca="1">Ruimtestaat!J301*$BC301</f>
        <v>0</v>
      </c>
      <c r="BK301" s="553"/>
      <c r="BR301" s="284" t="str">
        <f>IF(Ruimtestaat!BC301="","",Ruimtestaat!BC301)</f>
        <v/>
      </c>
      <c r="BS301" s="285">
        <f t="shared" si="9"/>
        <v>52</v>
      </c>
      <c r="BT301" s="286" t="str">
        <f ca="1">IF(BD301&gt;0,IF(ISNUMBER(Schoonmaaknormen!D301),Schoonmaaknormen!BD301/Schoonmaaknormen!D301,0),"")</f>
        <v/>
      </c>
      <c r="BU301" s="287" t="str">
        <f ca="1">IF(BE301&gt;0,IF(ISNUMBER(Schoonmaaknormen!E301),Schoonmaaknormen!BE301/Schoonmaaknormen!E301,0),"")</f>
        <v/>
      </c>
      <c r="BV301" s="287" t="str">
        <f ca="1">IF(BF301&gt;0,IF(ISNUMBER(Schoonmaaknormen!F301),Schoonmaaknormen!BF301/Schoonmaaknormen!F301,0),"")</f>
        <v/>
      </c>
      <c r="BW301" s="287" t="str">
        <f ca="1">IF(BG301&gt;0,IF(ISNUMBER(Schoonmaaknormen!G301),Schoonmaaknormen!BG301/Schoonmaaknormen!G301,0),"")</f>
        <v/>
      </c>
      <c r="BX301" s="287" t="str">
        <f ca="1">IF(BH301&gt;0,IF(ISNUMBER(Schoonmaaknormen!H301),Schoonmaaknormen!BH301/Schoonmaaknormen!H301,0),"")</f>
        <v/>
      </c>
      <c r="BY301" s="288" t="str">
        <f ca="1">IF(BI301&gt;0,IF(ISNUMBER(Schoonmaaknormen!I301),Schoonmaaknormen!BI301/Schoonmaaknormen!I301,0),"")</f>
        <v/>
      </c>
      <c r="BZ301" s="288" t="str">
        <f ca="1">IF(BJ301&gt;0,IF(ISNUMBER(Schoonmaaknormen!J301),Schoonmaaknormen!BJ301/Schoonmaaknormen!J301,0),"")</f>
        <v/>
      </c>
      <c r="CA301" s="549"/>
      <c r="CB301" s="553"/>
    </row>
    <row r="302" spans="1:80" ht="0.2" customHeight="1" thickBot="1" x14ac:dyDescent="0.25">
      <c r="A302" s="172">
        <f ca="1">Ruimtestaat!A302</f>
        <v>2</v>
      </c>
      <c r="B302" s="558"/>
      <c r="C302" s="290">
        <v>4</v>
      </c>
      <c r="D302" s="186"/>
      <c r="E302" s="187"/>
      <c r="F302" s="188"/>
      <c r="G302" s="187"/>
      <c r="H302" s="187"/>
      <c r="I302" s="189"/>
      <c r="J302" s="189"/>
      <c r="K302" s="562"/>
      <c r="L302" s="554"/>
      <c r="M302" s="172" t="b">
        <f>IF(_xlfn.XLOOKUP(BB302,Tabel2[Locatiecode],Tabel2[Type locatie],"",0)="vaccin",TRUE,FALSE)</f>
        <v>0</v>
      </c>
      <c r="BB302" s="291" t="str">
        <f>IF(Ruimtestaat!BC302="","",Ruimtestaat!BC302)</f>
        <v/>
      </c>
      <c r="BC302" s="292">
        <f t="shared" si="8"/>
        <v>4</v>
      </c>
      <c r="BD302" s="293">
        <f ca="1">Ruimtestaat!D302*$BC302</f>
        <v>0</v>
      </c>
      <c r="BE302" s="294">
        <f ca="1">Ruimtestaat!E302*$BC302</f>
        <v>0</v>
      </c>
      <c r="BF302" s="294">
        <f ca="1">Ruimtestaat!F302*$BC302</f>
        <v>0</v>
      </c>
      <c r="BG302" s="294">
        <f ca="1">Ruimtestaat!G302*$BC302</f>
        <v>0</v>
      </c>
      <c r="BH302" s="294">
        <f ca="1">Ruimtestaat!H302*$BC302</f>
        <v>0</v>
      </c>
      <c r="BI302" s="295">
        <f ca="1">Ruimtestaat!I302*$BC302</f>
        <v>0</v>
      </c>
      <c r="BJ302" s="296">
        <f ca="1">Ruimtestaat!J302*$BC302</f>
        <v>0</v>
      </c>
      <c r="BK302" s="554"/>
      <c r="BR302" s="291" t="str">
        <f>IF(Ruimtestaat!BC302="","",Ruimtestaat!BC302)</f>
        <v/>
      </c>
      <c r="BS302" s="292">
        <f t="shared" si="9"/>
        <v>4</v>
      </c>
      <c r="BT302" s="293" t="str">
        <f ca="1">IF(BD302&gt;0,IF(ISNUMBER(Schoonmaaknormen!D302),Schoonmaaknormen!BD302/Schoonmaaknormen!D302,0),"")</f>
        <v/>
      </c>
      <c r="BU302" s="294" t="str">
        <f ca="1">IF(BE302&gt;0,IF(ISNUMBER(Schoonmaaknormen!E302),Schoonmaaknormen!BE302/Schoonmaaknormen!E302,0),"")</f>
        <v/>
      </c>
      <c r="BV302" s="294" t="str">
        <f ca="1">IF(BF302&gt;0,IF(ISNUMBER(Schoonmaaknormen!F302),Schoonmaaknormen!BF302/Schoonmaaknormen!F302,0),"")</f>
        <v/>
      </c>
      <c r="BW302" s="294" t="str">
        <f ca="1">IF(BG302&gt;0,IF(ISNUMBER(Schoonmaaknormen!G302),Schoonmaaknormen!BG302/Schoonmaaknormen!G302,0),"")</f>
        <v/>
      </c>
      <c r="BX302" s="294" t="str">
        <f ca="1">IF(BH302&gt;0,IF(ISNUMBER(Schoonmaaknormen!H302),Schoonmaaknormen!BH302/Schoonmaaknormen!H302,0),"")</f>
        <v/>
      </c>
      <c r="BY302" s="295" t="str">
        <f ca="1">IF(BI302&gt;0,IF(ISNUMBER(Schoonmaaknormen!I302),Schoonmaaknormen!BI302/Schoonmaaknormen!I302,0),"")</f>
        <v/>
      </c>
      <c r="BZ302" s="295" t="str">
        <f ca="1">IF(BJ302&gt;0,IF(ISNUMBER(Schoonmaaknormen!J302),Schoonmaaknormen!BJ302/Schoonmaaknormen!J302,0),"")</f>
        <v/>
      </c>
      <c r="CA302" s="550"/>
      <c r="CB302" s="554"/>
    </row>
    <row r="303" spans="1:80" ht="15" customHeight="1" thickBot="1" x14ac:dyDescent="0.25">
      <c r="B303" s="195" t="s">
        <v>332</v>
      </c>
      <c r="C303" s="196"/>
      <c r="D303" s="197" t="str">
        <f ca="1">IF(COUNTBLANK(D3:D68)=COUNTIF(BD3:BD68,"&lt;=0"),BD303/BT303,"")</f>
        <v/>
      </c>
      <c r="E303" s="198" t="str">
        <f ca="1">IFERROR(IF(COUNTBLANK(E3:E68)=COUNTIF(BE3:BE68,"&lt;=0"),BE303/BU303,""),"")</f>
        <v/>
      </c>
      <c r="F303" s="198" t="str">
        <f t="shared" ref="F303:J303" ca="1" si="10">IFERROR(IF(COUNTBLANK(F3:F68)=COUNTIF(BF3:BF68,"&lt;=0"),BF303/BV303,""),"")</f>
        <v/>
      </c>
      <c r="G303" s="198" t="str">
        <f t="shared" ca="1" si="10"/>
        <v/>
      </c>
      <c r="H303" s="198" t="str">
        <f t="shared" ca="1" si="10"/>
        <v/>
      </c>
      <c r="I303" s="198" t="str">
        <f t="shared" ca="1" si="10"/>
        <v/>
      </c>
      <c r="J303" s="198" t="str">
        <f t="shared" ca="1" si="10"/>
        <v/>
      </c>
      <c r="K303" s="200"/>
      <c r="L303" s="201" t="str">
        <f ca="1">IF(COUNTIF(L3:L68,"&gt;0")=COUNTIF(BK3:BK68,"&gt;0"),BK303/CB303,"")</f>
        <v/>
      </c>
      <c r="M303" s="316"/>
      <c r="BB303" s="195" t="s">
        <v>313</v>
      </c>
      <c r="BC303" s="317"/>
      <c r="BD303" s="197">
        <f ca="1">SUM(BD3:BD302)</f>
        <v>319362</v>
      </c>
      <c r="BE303" s="198">
        <f t="shared" ref="BE303:BJ303" ca="1" si="11">SUM(BE3:BE302)</f>
        <v>862180.5</v>
      </c>
      <c r="BF303" s="198">
        <f t="shared" ca="1" si="11"/>
        <v>913221.3</v>
      </c>
      <c r="BG303" s="198">
        <f t="shared" ca="1" si="11"/>
        <v>189276.3</v>
      </c>
      <c r="BH303" s="198">
        <f t="shared" ca="1" si="11"/>
        <v>92585.4</v>
      </c>
      <c r="BI303" s="198">
        <f t="shared" ca="1" si="11"/>
        <v>1093899</v>
      </c>
      <c r="BJ303" s="200">
        <f t="shared" ca="1" si="11"/>
        <v>0</v>
      </c>
      <c r="BK303" s="201">
        <f ca="1">SUM(BD303:BJ303)</f>
        <v>3470524.5</v>
      </c>
      <c r="BR303" s="195" t="s">
        <v>313</v>
      </c>
      <c r="BS303" s="317"/>
      <c r="BT303" s="197">
        <f ca="1">SUM(BT3:BT302)</f>
        <v>0</v>
      </c>
      <c r="BU303" s="198">
        <f t="shared" ref="BU303:CA303" ca="1" si="12">SUM(BU3:BU302)</f>
        <v>0</v>
      </c>
      <c r="BV303" s="198">
        <f t="shared" ca="1" si="12"/>
        <v>0</v>
      </c>
      <c r="BW303" s="198">
        <f t="shared" ca="1" si="12"/>
        <v>0</v>
      </c>
      <c r="BX303" s="198">
        <f t="shared" ca="1" si="12"/>
        <v>0</v>
      </c>
      <c r="BY303" s="199">
        <f t="shared" ca="1" si="12"/>
        <v>0</v>
      </c>
      <c r="BZ303" s="199">
        <f t="shared" ca="1" si="12"/>
        <v>0</v>
      </c>
      <c r="CA303" s="200">
        <f t="shared" si="12"/>
        <v>0</v>
      </c>
      <c r="CB303" s="201">
        <f ca="1">SUM(BT303:CA303)</f>
        <v>0</v>
      </c>
    </row>
    <row r="304" spans="1:80" ht="15" customHeight="1" x14ac:dyDescent="0.2"/>
    <row r="305" spans="12:12" x14ac:dyDescent="0.2">
      <c r="L305" s="202"/>
    </row>
    <row r="447" spans="2:12" x14ac:dyDescent="0.2">
      <c r="B447" s="172" t="s">
        <v>322</v>
      </c>
      <c r="C447" s="172" t="s">
        <v>323</v>
      </c>
      <c r="D447" s="172"/>
      <c r="E447" s="172"/>
      <c r="F447" s="172"/>
      <c r="G447" s="172"/>
      <c r="H447" s="172"/>
      <c r="I447" s="172"/>
      <c r="J447" s="172"/>
      <c r="K447" s="172"/>
      <c r="L447" s="172" t="e">
        <f ca="1">SUMIF(Inventarisatie[Freq. Ma-Vr],0,Inventarisatie[Oppervlakte])+L303=SUM(Inventarisatie[Oppervlakte])</f>
        <v>#VALUE!</v>
      </c>
    </row>
  </sheetData>
  <sheetProtection algorithmName="SHA-512" hashValue="spZ6mAPtIP3HABfcdmjTSgfDv2DayuQJIi+Ph4xJ125voLFFcI9srUotOvbCFPmwg4FDvm6DJ0+i+unWuh/W8Q==" saltValue="J17Qg+/IGPivTGb5YJYyNg==" spinCount="100000" sheet="1" objects="1" scenarios="1"/>
  <mergeCells count="300">
    <mergeCell ref="BK3:BK8"/>
    <mergeCell ref="CB3:CB8"/>
    <mergeCell ref="CA3:CA8"/>
    <mergeCell ref="CB51:CB56"/>
    <mergeCell ref="CA57:CA62"/>
    <mergeCell ref="CB57:CB62"/>
    <mergeCell ref="B27:B32"/>
    <mergeCell ref="K27:K32"/>
    <mergeCell ref="L27:L32"/>
    <mergeCell ref="B33:B38"/>
    <mergeCell ref="K33:K38"/>
    <mergeCell ref="L33:L38"/>
    <mergeCell ref="B39:B44"/>
    <mergeCell ref="K39:K44"/>
    <mergeCell ref="L39:L44"/>
    <mergeCell ref="B9:B14"/>
    <mergeCell ref="K9:K14"/>
    <mergeCell ref="L9:L14"/>
    <mergeCell ref="B15:B20"/>
    <mergeCell ref="K15:K20"/>
    <mergeCell ref="L15:L20"/>
    <mergeCell ref="B3:B8"/>
    <mergeCell ref="L3:L8"/>
    <mergeCell ref="B21:B26"/>
    <mergeCell ref="K21:K26"/>
    <mergeCell ref="L21:L26"/>
    <mergeCell ref="K3:K8"/>
    <mergeCell ref="B57:B62"/>
    <mergeCell ref="K57:K62"/>
    <mergeCell ref="L57:L62"/>
    <mergeCell ref="B63:B68"/>
    <mergeCell ref="K63:K68"/>
    <mergeCell ref="L63:L68"/>
    <mergeCell ref="B45:B50"/>
    <mergeCell ref="K45:K50"/>
    <mergeCell ref="L45:L50"/>
    <mergeCell ref="B51:B56"/>
    <mergeCell ref="K51:K56"/>
    <mergeCell ref="L51:L56"/>
    <mergeCell ref="B81:B86"/>
    <mergeCell ref="K81:K86"/>
    <mergeCell ref="L81:L86"/>
    <mergeCell ref="B87:B92"/>
    <mergeCell ref="K87:K92"/>
    <mergeCell ref="L87:L92"/>
    <mergeCell ref="B69:B74"/>
    <mergeCell ref="K69:K74"/>
    <mergeCell ref="L69:L74"/>
    <mergeCell ref="B75:B80"/>
    <mergeCell ref="K75:K80"/>
    <mergeCell ref="L75:L80"/>
    <mergeCell ref="B105:B110"/>
    <mergeCell ref="K105:K110"/>
    <mergeCell ref="L105:L110"/>
    <mergeCell ref="B111:B116"/>
    <mergeCell ref="K111:K116"/>
    <mergeCell ref="L111:L116"/>
    <mergeCell ref="B93:B98"/>
    <mergeCell ref="K93:K98"/>
    <mergeCell ref="L93:L98"/>
    <mergeCell ref="B99:B104"/>
    <mergeCell ref="K99:K104"/>
    <mergeCell ref="L99:L104"/>
    <mergeCell ref="B129:B134"/>
    <mergeCell ref="K129:K134"/>
    <mergeCell ref="L129:L134"/>
    <mergeCell ref="B135:B140"/>
    <mergeCell ref="K135:K140"/>
    <mergeCell ref="L135:L140"/>
    <mergeCell ref="B117:B122"/>
    <mergeCell ref="K117:K122"/>
    <mergeCell ref="L117:L122"/>
    <mergeCell ref="B123:B128"/>
    <mergeCell ref="K123:K128"/>
    <mergeCell ref="L123:L128"/>
    <mergeCell ref="B153:B158"/>
    <mergeCell ref="K153:K158"/>
    <mergeCell ref="L153:L158"/>
    <mergeCell ref="B159:B164"/>
    <mergeCell ref="K159:K164"/>
    <mergeCell ref="L159:L164"/>
    <mergeCell ref="B141:B146"/>
    <mergeCell ref="K141:K146"/>
    <mergeCell ref="L141:L146"/>
    <mergeCell ref="B147:B152"/>
    <mergeCell ref="K147:K152"/>
    <mergeCell ref="L147:L152"/>
    <mergeCell ref="B177:B182"/>
    <mergeCell ref="K177:K182"/>
    <mergeCell ref="L177:L182"/>
    <mergeCell ref="B183:B188"/>
    <mergeCell ref="K183:K188"/>
    <mergeCell ref="L183:L188"/>
    <mergeCell ref="B165:B170"/>
    <mergeCell ref="K165:K170"/>
    <mergeCell ref="L165:L170"/>
    <mergeCell ref="B171:B176"/>
    <mergeCell ref="K171:K176"/>
    <mergeCell ref="L171:L176"/>
    <mergeCell ref="B201:B206"/>
    <mergeCell ref="K201:K206"/>
    <mergeCell ref="L201:L206"/>
    <mergeCell ref="B207:B212"/>
    <mergeCell ref="K207:K212"/>
    <mergeCell ref="L207:L212"/>
    <mergeCell ref="B189:B194"/>
    <mergeCell ref="K189:K194"/>
    <mergeCell ref="L189:L194"/>
    <mergeCell ref="B195:B200"/>
    <mergeCell ref="K195:K200"/>
    <mergeCell ref="L195:L200"/>
    <mergeCell ref="B225:B230"/>
    <mergeCell ref="K225:K230"/>
    <mergeCell ref="L225:L230"/>
    <mergeCell ref="B231:B236"/>
    <mergeCell ref="K231:K236"/>
    <mergeCell ref="L231:L236"/>
    <mergeCell ref="B213:B218"/>
    <mergeCell ref="K213:K218"/>
    <mergeCell ref="L213:L218"/>
    <mergeCell ref="B219:B224"/>
    <mergeCell ref="K219:K224"/>
    <mergeCell ref="L219:L224"/>
    <mergeCell ref="B249:B254"/>
    <mergeCell ref="K249:K254"/>
    <mergeCell ref="L249:L254"/>
    <mergeCell ref="B255:B260"/>
    <mergeCell ref="K255:K260"/>
    <mergeCell ref="L255:L260"/>
    <mergeCell ref="B237:B242"/>
    <mergeCell ref="K237:K242"/>
    <mergeCell ref="L237:L242"/>
    <mergeCell ref="B243:B248"/>
    <mergeCell ref="K243:K248"/>
    <mergeCell ref="L243:L248"/>
    <mergeCell ref="L273:L278"/>
    <mergeCell ref="B279:B284"/>
    <mergeCell ref="K279:K284"/>
    <mergeCell ref="L279:L284"/>
    <mergeCell ref="B261:B266"/>
    <mergeCell ref="K261:K266"/>
    <mergeCell ref="L261:L266"/>
    <mergeCell ref="B267:B272"/>
    <mergeCell ref="K267:K272"/>
    <mergeCell ref="L267:L272"/>
    <mergeCell ref="B297:B302"/>
    <mergeCell ref="K297:K302"/>
    <mergeCell ref="L297:L302"/>
    <mergeCell ref="BK9:BK14"/>
    <mergeCell ref="BK15:BK20"/>
    <mergeCell ref="BK21:BK26"/>
    <mergeCell ref="BK27:BK32"/>
    <mergeCell ref="BK33:BK38"/>
    <mergeCell ref="BK39:BK44"/>
    <mergeCell ref="BK45:BK50"/>
    <mergeCell ref="BK51:BK56"/>
    <mergeCell ref="BK57:BK62"/>
    <mergeCell ref="BK63:BK68"/>
    <mergeCell ref="BK69:BK74"/>
    <mergeCell ref="BK75:BK80"/>
    <mergeCell ref="BK81:BK86"/>
    <mergeCell ref="B285:B290"/>
    <mergeCell ref="K285:K290"/>
    <mergeCell ref="L285:L290"/>
    <mergeCell ref="B291:B296"/>
    <mergeCell ref="K291:K296"/>
    <mergeCell ref="L291:L296"/>
    <mergeCell ref="B273:B278"/>
    <mergeCell ref="K273:K278"/>
    <mergeCell ref="BK117:BK122"/>
    <mergeCell ref="BK123:BK128"/>
    <mergeCell ref="BK129:BK134"/>
    <mergeCell ref="BK135:BK140"/>
    <mergeCell ref="BK141:BK146"/>
    <mergeCell ref="BK87:BK92"/>
    <mergeCell ref="BK93:BK98"/>
    <mergeCell ref="BK99:BK104"/>
    <mergeCell ref="BK105:BK110"/>
    <mergeCell ref="BK111:BK116"/>
    <mergeCell ref="BK177:BK182"/>
    <mergeCell ref="BK183:BK188"/>
    <mergeCell ref="BK189:BK194"/>
    <mergeCell ref="BK195:BK200"/>
    <mergeCell ref="BK201:BK206"/>
    <mergeCell ref="BK147:BK152"/>
    <mergeCell ref="BK153:BK158"/>
    <mergeCell ref="BK159:BK164"/>
    <mergeCell ref="BK165:BK170"/>
    <mergeCell ref="BK171:BK176"/>
    <mergeCell ref="BK279:BK284"/>
    <mergeCell ref="BK285:BK290"/>
    <mergeCell ref="BK291:BK296"/>
    <mergeCell ref="BK237:BK242"/>
    <mergeCell ref="BK243:BK248"/>
    <mergeCell ref="BK249:BK254"/>
    <mergeCell ref="BK255:BK260"/>
    <mergeCell ref="BK261:BK266"/>
    <mergeCell ref="BK207:BK212"/>
    <mergeCell ref="BK213:BK218"/>
    <mergeCell ref="BK219:BK224"/>
    <mergeCell ref="BK225:BK230"/>
    <mergeCell ref="BK231:BK236"/>
    <mergeCell ref="CA63:CA68"/>
    <mergeCell ref="CB63:CB68"/>
    <mergeCell ref="CA69:CA74"/>
    <mergeCell ref="CB69:CB74"/>
    <mergeCell ref="CA75:CA80"/>
    <mergeCell ref="CB75:CB80"/>
    <mergeCell ref="BK297:BK302"/>
    <mergeCell ref="CA9:CA14"/>
    <mergeCell ref="CB9:CB14"/>
    <mergeCell ref="CA15:CA20"/>
    <mergeCell ref="CB15:CB20"/>
    <mergeCell ref="CA21:CA26"/>
    <mergeCell ref="CB21:CB26"/>
    <mergeCell ref="CA27:CA32"/>
    <mergeCell ref="CB27:CB32"/>
    <mergeCell ref="CA33:CA38"/>
    <mergeCell ref="CB33:CB38"/>
    <mergeCell ref="CA39:CA44"/>
    <mergeCell ref="CB39:CB44"/>
    <mergeCell ref="CA45:CA50"/>
    <mergeCell ref="CB45:CB50"/>
    <mergeCell ref="CA51:CA56"/>
    <mergeCell ref="BK267:BK272"/>
    <mergeCell ref="BK273:BK278"/>
    <mergeCell ref="CA99:CA104"/>
    <mergeCell ref="CB99:CB104"/>
    <mergeCell ref="CA105:CA110"/>
    <mergeCell ref="CB105:CB110"/>
    <mergeCell ref="CA111:CA116"/>
    <mergeCell ref="CB111:CB116"/>
    <mergeCell ref="CA81:CA86"/>
    <mergeCell ref="CB81:CB86"/>
    <mergeCell ref="CA87:CA92"/>
    <mergeCell ref="CB87:CB92"/>
    <mergeCell ref="CA93:CA98"/>
    <mergeCell ref="CB93:CB98"/>
    <mergeCell ref="CA135:CA140"/>
    <mergeCell ref="CB135:CB140"/>
    <mergeCell ref="CA141:CA146"/>
    <mergeCell ref="CB141:CB146"/>
    <mergeCell ref="CA147:CA152"/>
    <mergeCell ref="CB147:CB152"/>
    <mergeCell ref="CA117:CA122"/>
    <mergeCell ref="CB117:CB122"/>
    <mergeCell ref="CA123:CA128"/>
    <mergeCell ref="CB123:CB128"/>
    <mergeCell ref="CA129:CA134"/>
    <mergeCell ref="CB129:CB134"/>
    <mergeCell ref="CA171:CA176"/>
    <mergeCell ref="CB171:CB176"/>
    <mergeCell ref="CA177:CA182"/>
    <mergeCell ref="CB177:CB182"/>
    <mergeCell ref="CA183:CA188"/>
    <mergeCell ref="CB183:CB188"/>
    <mergeCell ref="CA153:CA158"/>
    <mergeCell ref="CB153:CB158"/>
    <mergeCell ref="CA159:CA164"/>
    <mergeCell ref="CB159:CB164"/>
    <mergeCell ref="CA165:CA170"/>
    <mergeCell ref="CB165:CB170"/>
    <mergeCell ref="CA207:CA212"/>
    <mergeCell ref="CB207:CB212"/>
    <mergeCell ref="CA213:CA218"/>
    <mergeCell ref="CB213:CB218"/>
    <mergeCell ref="CA219:CA224"/>
    <mergeCell ref="CB219:CB224"/>
    <mergeCell ref="CA189:CA194"/>
    <mergeCell ref="CB189:CB194"/>
    <mergeCell ref="CA195:CA200"/>
    <mergeCell ref="CB195:CB200"/>
    <mergeCell ref="CA201:CA206"/>
    <mergeCell ref="CB201:CB206"/>
    <mergeCell ref="CA243:CA248"/>
    <mergeCell ref="CB243:CB248"/>
    <mergeCell ref="CA249:CA254"/>
    <mergeCell ref="CB249:CB254"/>
    <mergeCell ref="CA255:CA260"/>
    <mergeCell ref="CB255:CB260"/>
    <mergeCell ref="CA225:CA230"/>
    <mergeCell ref="CB225:CB230"/>
    <mergeCell ref="CA231:CA236"/>
    <mergeCell ref="CB231:CB236"/>
    <mergeCell ref="CA237:CA242"/>
    <mergeCell ref="CB237:CB242"/>
    <mergeCell ref="CA297:CA302"/>
    <mergeCell ref="CB297:CB302"/>
    <mergeCell ref="CA279:CA284"/>
    <mergeCell ref="CB279:CB284"/>
    <mergeCell ref="CA285:CA290"/>
    <mergeCell ref="CB285:CB290"/>
    <mergeCell ref="CA291:CA296"/>
    <mergeCell ref="CB291:CB296"/>
    <mergeCell ref="CA261:CA266"/>
    <mergeCell ref="CB261:CB266"/>
    <mergeCell ref="CA267:CA272"/>
    <mergeCell ref="CB267:CB272"/>
    <mergeCell ref="CA273:CA278"/>
    <mergeCell ref="CB273:CB278"/>
  </mergeCells>
  <conditionalFormatting sqref="D3:K3 D15:K302 D10:J14 D9:K9 D4:J8">
    <cfRule type="containsBlanks" dxfId="11" priority="170">
      <formula>LEN(TRIM(D3))=0</formula>
    </cfRule>
  </conditionalFormatting>
  <conditionalFormatting sqref="B3:C302 L3:L302">
    <cfRule type="expression" dxfId="10" priority="1">
      <formula>$M3</formula>
    </cfRule>
  </conditionalFormatting>
  <hyperlinks>
    <hyperlink ref="D2" location="Boxenruimte!A1" display="Boxenruimte!A1" xr:uid="{DDBE358A-545E-4417-9492-C1F40509AE2B}"/>
    <hyperlink ref="E2" location="Kantoorruimte!A1" display="Kantoorruimte!A1" xr:uid="{A9CCED7F-E9A4-43E4-8861-1F1C6077D855}"/>
    <hyperlink ref="F2" location="'Representatieve ruimte'!A1" display="'Representatieve ruimte'!A1" xr:uid="{A6B3F613-C01E-4254-9E5D-F13091ACFAAA}"/>
    <hyperlink ref="G2" location="'Restauratieve ruimte'!A1" display="'Restauratieve ruimte'!A1" xr:uid="{DB54C13F-BC5F-4B03-9051-43C723A52945}"/>
    <hyperlink ref="H2" location="'Sanitaire ruimte'!A1" display="'Sanitaire ruimte'!A1" xr:uid="{C69F2A4E-1B42-4A7B-A5E1-CB4951496844}"/>
    <hyperlink ref="I2" location="Verkeersruimte!A1" display="Verkeersruimte!A1" xr:uid="{69693D79-23B0-4655-A1B1-D9BF143DB7EC}"/>
    <hyperlink ref="B2" location="Locatieoverzicht!A1" display="Locatie" xr:uid="{25527A86-57CF-44E5-8C17-ECE017C9E9A4}"/>
  </hyperlinks>
  <printOptions horizontalCentered="1" verticalCentered="1"/>
  <pageMargins left="0.70866141732283472" right="0.70866141732283472" top="0.74803149606299213" bottom="0.74803149606299213" header="0.31496062992125984" footer="0.31496062992125984"/>
  <pageSetup paperSize="9" scale="79" fitToHeight="0" orientation="portrait" horizontalDpi="0" verticalDpi="0" r:id="rId1"/>
  <headerFooter>
    <oddHeader>&amp;L&amp;9&amp;K04-048Schoonmaaknormen&amp;R&amp;G</oddHeader>
    <oddFooter>&amp;L&amp;9&amp;K04-049Offerteaanvraag EU Openbare aanbesteding Schoonmaakonderhoud&amp;C&amp;9&amp;K04-049 8 april 2022&amp;R&amp;9&amp;K04-049Blad &amp;P van &amp;N</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69" id="{C32C4E02-BF1F-4144-9A16-B709C8D98F8F}">
            <xm:f>Ruimtestaat!D3&lt;=0</xm:f>
            <x14:dxf>
              <fill>
                <patternFill>
                  <bgColor theme="0" tint="-0.14996795556505021"/>
                </patternFill>
              </fill>
            </x14:dxf>
          </x14:cfRule>
          <xm:sqref>D3:J302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C1208-0A4D-4903-88D9-D431C5A2E719}">
  <sheetPr codeName="Blad4"/>
  <dimension ref="A2:T39"/>
  <sheetViews>
    <sheetView workbookViewId="0">
      <selection activeCell="B11" sqref="B11"/>
    </sheetView>
  </sheetViews>
  <sheetFormatPr defaultColWidth="8.85546875" defaultRowHeight="15" x14ac:dyDescent="0.25"/>
  <cols>
    <col min="1" max="1" width="15.42578125" bestFit="1" customWidth="1"/>
    <col min="2" max="9" width="10.42578125" bestFit="1" customWidth="1"/>
    <col min="10" max="20" width="10.85546875" customWidth="1"/>
  </cols>
  <sheetData>
    <row r="2" spans="1:20" x14ac:dyDescent="0.25">
      <c r="A2" s="6" t="s">
        <v>564</v>
      </c>
      <c r="B2" s="6" t="s">
        <v>565</v>
      </c>
      <c r="C2" s="6" t="s">
        <v>566</v>
      </c>
      <c r="D2" s="6" t="s">
        <v>567</v>
      </c>
      <c r="E2" s="6" t="s">
        <v>568</v>
      </c>
      <c r="F2" s="6" t="s">
        <v>569</v>
      </c>
      <c r="G2" s="6" t="s">
        <v>570</v>
      </c>
      <c r="H2" s="6" t="s">
        <v>571</v>
      </c>
      <c r="I2" s="6" t="s">
        <v>572</v>
      </c>
      <c r="J2" s="6" t="s">
        <v>573</v>
      </c>
      <c r="K2" s="6" t="s">
        <v>574</v>
      </c>
      <c r="L2" s="6" t="s">
        <v>575</v>
      </c>
      <c r="M2" s="6" t="s">
        <v>576</v>
      </c>
      <c r="N2" s="6" t="s">
        <v>577</v>
      </c>
      <c r="O2" s="6" t="s">
        <v>578</v>
      </c>
      <c r="P2" s="6" t="s">
        <v>579</v>
      </c>
      <c r="Q2" s="6" t="s">
        <v>580</v>
      </c>
      <c r="R2" s="6" t="s">
        <v>581</v>
      </c>
      <c r="S2" s="6" t="s">
        <v>582</v>
      </c>
      <c r="T2" s="6" t="s">
        <v>583</v>
      </c>
    </row>
    <row r="3" spans="1:20" x14ac:dyDescent="0.25">
      <c r="A3" s="5" t="s">
        <v>546</v>
      </c>
      <c r="B3" s="5">
        <f t="shared" ref="B3:T3" si="0">NETWORKDAYS.INTL(DATE(B$2,1,1),DATE(B$2,12,31),"0111111",B$27:B$36)</f>
        <v>49</v>
      </c>
      <c r="C3" s="5">
        <f t="shared" si="0"/>
        <v>49</v>
      </c>
      <c r="D3" s="5">
        <f t="shared" si="0"/>
        <v>50</v>
      </c>
      <c r="E3" s="5">
        <f t="shared" si="0"/>
        <v>49</v>
      </c>
      <c r="F3" s="5">
        <f t="shared" si="0"/>
        <v>49</v>
      </c>
      <c r="G3" s="5">
        <f t="shared" si="0"/>
        <v>50</v>
      </c>
      <c r="H3" s="5">
        <f t="shared" si="0"/>
        <v>49</v>
      </c>
      <c r="I3" s="5">
        <f t="shared" si="0"/>
        <v>50</v>
      </c>
      <c r="J3" s="5">
        <f t="shared" si="0"/>
        <v>50</v>
      </c>
      <c r="K3" s="5">
        <f t="shared" si="0"/>
        <v>50</v>
      </c>
      <c r="L3" s="5">
        <f t="shared" si="0"/>
        <v>50</v>
      </c>
      <c r="M3" s="5">
        <f t="shared" si="0"/>
        <v>49</v>
      </c>
      <c r="N3" s="5">
        <f t="shared" si="0"/>
        <v>49</v>
      </c>
      <c r="O3" s="5">
        <f t="shared" si="0"/>
        <v>50</v>
      </c>
      <c r="P3" s="5">
        <f t="shared" si="0"/>
        <v>50</v>
      </c>
      <c r="Q3" s="5">
        <f t="shared" si="0"/>
        <v>49</v>
      </c>
      <c r="R3" s="5">
        <f t="shared" si="0"/>
        <v>50</v>
      </c>
      <c r="S3" s="5">
        <f t="shared" si="0"/>
        <v>49</v>
      </c>
      <c r="T3" s="5">
        <f t="shared" si="0"/>
        <v>51</v>
      </c>
    </row>
    <row r="4" spans="1:20" x14ac:dyDescent="0.25">
      <c r="A4" s="5" t="s">
        <v>547</v>
      </c>
      <c r="B4" s="5">
        <f t="shared" ref="B4:T4" si="1">NETWORKDAYS.INTL(DATE(B$2,1,1),DATE(B$2,12,31),"1011111",B$27:B$36)</f>
        <v>52</v>
      </c>
      <c r="C4" s="5">
        <f t="shared" si="1"/>
        <v>51</v>
      </c>
      <c r="D4" s="5">
        <f t="shared" si="1"/>
        <v>53</v>
      </c>
      <c r="E4" s="5">
        <f t="shared" si="1"/>
        <v>52</v>
      </c>
      <c r="F4" s="5">
        <f t="shared" si="1"/>
        <v>52</v>
      </c>
      <c r="G4" s="5">
        <f t="shared" si="1"/>
        <v>51</v>
      </c>
      <c r="H4" s="5">
        <f t="shared" si="1"/>
        <v>51</v>
      </c>
      <c r="I4" s="5">
        <f t="shared" si="1"/>
        <v>51</v>
      </c>
      <c r="J4" s="5">
        <f t="shared" si="1"/>
        <v>52</v>
      </c>
      <c r="K4" s="5">
        <f t="shared" si="1"/>
        <v>52</v>
      </c>
      <c r="L4" s="5">
        <f t="shared" si="1"/>
        <v>51</v>
      </c>
      <c r="M4" s="5">
        <f t="shared" si="1"/>
        <v>52</v>
      </c>
      <c r="N4" s="5">
        <f t="shared" si="1"/>
        <v>51</v>
      </c>
      <c r="O4" s="5">
        <f t="shared" si="1"/>
        <v>51</v>
      </c>
      <c r="P4" s="5">
        <f t="shared" si="1"/>
        <v>52</v>
      </c>
      <c r="Q4" s="5">
        <f t="shared" si="1"/>
        <v>52</v>
      </c>
      <c r="R4" s="5">
        <f t="shared" si="1"/>
        <v>51</v>
      </c>
      <c r="S4" s="5">
        <f t="shared" si="1"/>
        <v>52</v>
      </c>
      <c r="T4" s="5">
        <f t="shared" si="1"/>
        <v>51</v>
      </c>
    </row>
    <row r="5" spans="1:20" x14ac:dyDescent="0.25">
      <c r="A5" s="5" t="s">
        <v>548</v>
      </c>
      <c r="B5" s="5">
        <f t="shared" ref="B5:T5" si="2">NETWORKDAYS.INTL(DATE(B$2,1,1),DATE(B$2,12,31),"1101111",B$27:B$36)</f>
        <v>51</v>
      </c>
      <c r="C5" s="5">
        <f t="shared" si="2"/>
        <v>52</v>
      </c>
      <c r="D5" s="5">
        <f t="shared" si="2"/>
        <v>51</v>
      </c>
      <c r="E5" s="5">
        <f t="shared" si="2"/>
        <v>52</v>
      </c>
      <c r="F5" s="5">
        <f t="shared" si="2"/>
        <v>52</v>
      </c>
      <c r="G5" s="5">
        <f t="shared" si="2"/>
        <v>52</v>
      </c>
      <c r="H5" s="5">
        <f t="shared" si="2"/>
        <v>52</v>
      </c>
      <c r="I5" s="5">
        <f t="shared" si="2"/>
        <v>51</v>
      </c>
      <c r="J5" s="5">
        <f t="shared" si="2"/>
        <v>51</v>
      </c>
      <c r="K5" s="5">
        <f t="shared" si="2"/>
        <v>52</v>
      </c>
      <c r="L5" s="5">
        <f t="shared" si="2"/>
        <v>52</v>
      </c>
      <c r="M5" s="5">
        <f t="shared" si="2"/>
        <v>51</v>
      </c>
      <c r="N5" s="5">
        <f t="shared" si="2"/>
        <v>52</v>
      </c>
      <c r="O5" s="5">
        <f t="shared" si="2"/>
        <v>51</v>
      </c>
      <c r="P5" s="5">
        <f t="shared" si="2"/>
        <v>53</v>
      </c>
      <c r="Q5" s="5">
        <f t="shared" si="2"/>
        <v>52</v>
      </c>
      <c r="R5" s="5">
        <f t="shared" si="2"/>
        <v>52</v>
      </c>
      <c r="S5" s="5">
        <f t="shared" si="2"/>
        <v>51</v>
      </c>
      <c r="T5" s="5">
        <f t="shared" si="2"/>
        <v>51</v>
      </c>
    </row>
    <row r="6" spans="1:20" x14ac:dyDescent="0.25">
      <c r="A6" s="5" t="s">
        <v>549</v>
      </c>
      <c r="B6" s="5">
        <f t="shared" ref="B6:T6" si="3">NETWORKDAYS.INTL(DATE(B$2,1,1),DATE(B$2,12,31),"1110111",B$27:B$36)</f>
        <v>51</v>
      </c>
      <c r="C6" s="5">
        <f t="shared" si="3"/>
        <v>50</v>
      </c>
      <c r="D6" s="5">
        <f t="shared" si="3"/>
        <v>50</v>
      </c>
      <c r="E6" s="5">
        <f t="shared" si="3"/>
        <v>50</v>
      </c>
      <c r="F6" s="5">
        <f t="shared" si="3"/>
        <v>51</v>
      </c>
      <c r="G6" s="5">
        <f t="shared" si="3"/>
        <v>51</v>
      </c>
      <c r="H6" s="5">
        <f t="shared" si="3"/>
        <v>50</v>
      </c>
      <c r="I6" s="5">
        <f t="shared" si="3"/>
        <v>51</v>
      </c>
      <c r="J6" s="5">
        <f t="shared" si="3"/>
        <v>50</v>
      </c>
      <c r="K6" s="5">
        <f t="shared" si="3"/>
        <v>50</v>
      </c>
      <c r="L6" s="5">
        <f t="shared" si="3"/>
        <v>51</v>
      </c>
      <c r="M6" s="5">
        <f t="shared" si="3"/>
        <v>51</v>
      </c>
      <c r="N6" s="5">
        <f t="shared" si="3"/>
        <v>50</v>
      </c>
      <c r="O6" s="5">
        <f t="shared" si="3"/>
        <v>51</v>
      </c>
      <c r="P6" s="5">
        <f t="shared" si="3"/>
        <v>50</v>
      </c>
      <c r="Q6" s="5">
        <f t="shared" si="3"/>
        <v>51</v>
      </c>
      <c r="R6" s="5">
        <f t="shared" si="3"/>
        <v>51</v>
      </c>
      <c r="S6" s="5">
        <f t="shared" si="3"/>
        <v>51</v>
      </c>
      <c r="T6" s="5">
        <f t="shared" si="3"/>
        <v>51</v>
      </c>
    </row>
    <row r="7" spans="1:20" x14ac:dyDescent="0.25">
      <c r="A7" s="5" t="s">
        <v>550</v>
      </c>
      <c r="B7" s="5">
        <f t="shared" ref="B7:T7" si="4">NETWORKDAYS.INTL(DATE(B$2,1,1),DATE(B$2,12,31),"1111011",B$27:B$36)</f>
        <v>52</v>
      </c>
      <c r="C7" s="5">
        <f t="shared" si="4"/>
        <v>52</v>
      </c>
      <c r="D7" s="5">
        <f t="shared" si="4"/>
        <v>52</v>
      </c>
      <c r="E7" s="5">
        <f t="shared" si="4"/>
        <v>51</v>
      </c>
      <c r="F7" s="5">
        <f t="shared" si="4"/>
        <v>51</v>
      </c>
      <c r="G7" s="5">
        <f t="shared" si="4"/>
        <v>52</v>
      </c>
      <c r="H7" s="5">
        <f t="shared" si="4"/>
        <v>52</v>
      </c>
      <c r="I7" s="5">
        <f t="shared" si="4"/>
        <v>51</v>
      </c>
      <c r="J7" s="5">
        <f t="shared" si="4"/>
        <v>52</v>
      </c>
      <c r="K7" s="5">
        <f t="shared" si="4"/>
        <v>51</v>
      </c>
      <c r="L7" s="5">
        <f t="shared" si="4"/>
        <v>53</v>
      </c>
      <c r="M7" s="5">
        <f t="shared" si="4"/>
        <v>52</v>
      </c>
      <c r="N7" s="5">
        <f t="shared" si="4"/>
        <v>52</v>
      </c>
      <c r="O7" s="5">
        <f t="shared" si="4"/>
        <v>51</v>
      </c>
      <c r="P7" s="5">
        <f t="shared" si="4"/>
        <v>51</v>
      </c>
      <c r="Q7" s="5">
        <f t="shared" si="4"/>
        <v>51</v>
      </c>
      <c r="R7" s="5">
        <f t="shared" si="4"/>
        <v>52</v>
      </c>
      <c r="S7" s="5">
        <f t="shared" si="4"/>
        <v>52</v>
      </c>
      <c r="T7" s="5">
        <f t="shared" si="4"/>
        <v>51</v>
      </c>
    </row>
    <row r="8" spans="1:20" x14ac:dyDescent="0.25">
      <c r="A8" s="5" t="s">
        <v>551</v>
      </c>
      <c r="B8" s="5">
        <f t="shared" ref="B8:T8" si="5">NETWORKDAYS.INTL(DATE(B$2,1,1),DATE(B$2,12,31),"1111101",B$27:B$36)</f>
        <v>52</v>
      </c>
      <c r="C8" s="5">
        <f t="shared" si="5"/>
        <v>52</v>
      </c>
      <c r="D8" s="5">
        <f t="shared" si="5"/>
        <v>51</v>
      </c>
      <c r="E8" s="5">
        <f t="shared" si="5"/>
        <v>51</v>
      </c>
      <c r="F8" s="5">
        <f t="shared" si="5"/>
        <v>51</v>
      </c>
      <c r="G8" s="5">
        <f t="shared" si="5"/>
        <v>51</v>
      </c>
      <c r="H8" s="5">
        <f t="shared" si="5"/>
        <v>52</v>
      </c>
      <c r="I8" s="5">
        <f t="shared" si="5"/>
        <v>52</v>
      </c>
      <c r="J8" s="5">
        <f t="shared" si="5"/>
        <v>51</v>
      </c>
      <c r="K8" s="5">
        <f t="shared" si="5"/>
        <v>51</v>
      </c>
      <c r="L8" s="5">
        <f t="shared" si="5"/>
        <v>51</v>
      </c>
      <c r="M8" s="5">
        <f t="shared" si="5"/>
        <v>52</v>
      </c>
      <c r="N8" s="5">
        <f t="shared" si="5"/>
        <v>52</v>
      </c>
      <c r="O8" s="5">
        <f t="shared" si="5"/>
        <v>51</v>
      </c>
      <c r="P8" s="5">
        <f t="shared" si="5"/>
        <v>51</v>
      </c>
      <c r="Q8" s="5">
        <f t="shared" si="5"/>
        <v>51</v>
      </c>
      <c r="R8" s="5">
        <f t="shared" si="5"/>
        <v>51</v>
      </c>
      <c r="S8" s="5">
        <f t="shared" si="5"/>
        <v>52</v>
      </c>
      <c r="T8" s="5">
        <f t="shared" si="5"/>
        <v>51</v>
      </c>
    </row>
    <row r="9" spans="1:20" x14ac:dyDescent="0.25">
      <c r="A9" s="5" t="s">
        <v>552</v>
      </c>
      <c r="B9" s="5">
        <f t="shared" ref="B9:T9" si="6">NETWORKDAYS.INTL(DATE(B$2,1,1),DATE(B$2,12,31),"1111110",B$27:B$36)</f>
        <v>49</v>
      </c>
      <c r="C9" s="5">
        <f t="shared" si="6"/>
        <v>50</v>
      </c>
      <c r="D9" s="5">
        <f t="shared" si="6"/>
        <v>50</v>
      </c>
      <c r="E9" s="5">
        <f t="shared" si="6"/>
        <v>50</v>
      </c>
      <c r="F9" s="5">
        <f t="shared" si="6"/>
        <v>50</v>
      </c>
      <c r="G9" s="5">
        <f t="shared" si="6"/>
        <v>49</v>
      </c>
      <c r="H9" s="5">
        <f t="shared" si="6"/>
        <v>51</v>
      </c>
      <c r="I9" s="5">
        <f t="shared" si="6"/>
        <v>50</v>
      </c>
      <c r="J9" s="5">
        <f t="shared" si="6"/>
        <v>49</v>
      </c>
      <c r="K9" s="5">
        <f t="shared" si="6"/>
        <v>50</v>
      </c>
      <c r="L9" s="5">
        <f t="shared" si="6"/>
        <v>49</v>
      </c>
      <c r="M9" s="5">
        <f t="shared" si="6"/>
        <v>49</v>
      </c>
      <c r="N9" s="5">
        <f t="shared" si="6"/>
        <v>50</v>
      </c>
      <c r="O9" s="5">
        <f t="shared" si="6"/>
        <v>50</v>
      </c>
      <c r="P9" s="5">
        <f t="shared" si="6"/>
        <v>50</v>
      </c>
      <c r="Q9" s="5">
        <f t="shared" si="6"/>
        <v>50</v>
      </c>
      <c r="R9" s="5">
        <f t="shared" si="6"/>
        <v>49</v>
      </c>
      <c r="S9" s="5">
        <f t="shared" si="6"/>
        <v>49</v>
      </c>
      <c r="T9" s="5">
        <f t="shared" si="6"/>
        <v>50</v>
      </c>
    </row>
    <row r="10" spans="1:20" x14ac:dyDescent="0.25">
      <c r="A10" s="5" t="s">
        <v>553</v>
      </c>
      <c r="B10" s="5">
        <f t="shared" ref="B10:T10" si="7">COUNTA(B27:B36)</f>
        <v>9</v>
      </c>
      <c r="C10" s="5">
        <f t="shared" si="7"/>
        <v>9</v>
      </c>
      <c r="D10" s="5">
        <f t="shared" si="7"/>
        <v>9</v>
      </c>
      <c r="E10" s="5">
        <f t="shared" si="7"/>
        <v>10</v>
      </c>
      <c r="F10" s="5">
        <f t="shared" si="7"/>
        <v>9</v>
      </c>
      <c r="G10" s="5">
        <f t="shared" si="7"/>
        <v>9</v>
      </c>
      <c r="H10" s="5">
        <f t="shared" si="7"/>
        <v>9</v>
      </c>
      <c r="I10" s="5">
        <f t="shared" si="7"/>
        <v>9</v>
      </c>
      <c r="J10" s="5">
        <f t="shared" si="7"/>
        <v>10</v>
      </c>
      <c r="K10" s="5">
        <f t="shared" si="7"/>
        <v>9</v>
      </c>
      <c r="L10" s="5">
        <f t="shared" si="7"/>
        <v>9</v>
      </c>
      <c r="M10" s="5">
        <f t="shared" si="7"/>
        <v>9</v>
      </c>
      <c r="N10" s="5">
        <f t="shared" si="7"/>
        <v>9</v>
      </c>
      <c r="O10" s="5">
        <f t="shared" si="7"/>
        <v>10</v>
      </c>
      <c r="P10" s="5">
        <f t="shared" si="7"/>
        <v>9</v>
      </c>
      <c r="Q10" s="5">
        <f t="shared" si="7"/>
        <v>9</v>
      </c>
      <c r="R10" s="5">
        <f t="shared" si="7"/>
        <v>9</v>
      </c>
      <c r="S10" s="5">
        <f t="shared" si="7"/>
        <v>9</v>
      </c>
      <c r="T10" s="5">
        <f t="shared" si="7"/>
        <v>10</v>
      </c>
    </row>
    <row r="11" spans="1:20" x14ac:dyDescent="0.25">
      <c r="A11" s="5" t="s">
        <v>584</v>
      </c>
      <c r="B11" s="5">
        <f>SUM(B3:B7)</f>
        <v>255</v>
      </c>
      <c r="C11" s="5">
        <f t="shared" ref="C11:T11" si="8">SUM(C3:C7)</f>
        <v>254</v>
      </c>
      <c r="D11" s="5">
        <f t="shared" si="8"/>
        <v>256</v>
      </c>
      <c r="E11" s="5">
        <f t="shared" si="8"/>
        <v>254</v>
      </c>
      <c r="F11" s="5">
        <f t="shared" si="8"/>
        <v>255</v>
      </c>
      <c r="G11" s="5">
        <f t="shared" si="8"/>
        <v>256</v>
      </c>
      <c r="H11" s="5">
        <f t="shared" si="8"/>
        <v>254</v>
      </c>
      <c r="I11" s="5">
        <f t="shared" si="8"/>
        <v>254</v>
      </c>
      <c r="J11" s="5">
        <f t="shared" si="8"/>
        <v>255</v>
      </c>
      <c r="K11" s="5">
        <f t="shared" si="8"/>
        <v>255</v>
      </c>
      <c r="L11" s="5">
        <f t="shared" si="8"/>
        <v>257</v>
      </c>
      <c r="M11" s="5">
        <f t="shared" si="8"/>
        <v>255</v>
      </c>
      <c r="N11" s="5">
        <f t="shared" si="8"/>
        <v>254</v>
      </c>
      <c r="O11" s="5">
        <f t="shared" si="8"/>
        <v>254</v>
      </c>
      <c r="P11" s="5">
        <f t="shared" si="8"/>
        <v>256</v>
      </c>
      <c r="Q11" s="5">
        <f t="shared" si="8"/>
        <v>255</v>
      </c>
      <c r="R11" s="5">
        <f t="shared" si="8"/>
        <v>256</v>
      </c>
      <c r="S11" s="5">
        <f t="shared" si="8"/>
        <v>255</v>
      </c>
      <c r="T11" s="5">
        <f t="shared" si="8"/>
        <v>255</v>
      </c>
    </row>
    <row r="12" spans="1:20" x14ac:dyDescent="0.25">
      <c r="A12" s="5" t="s">
        <v>597</v>
      </c>
      <c r="B12" s="5">
        <f>SUM(B3,B4,B6,B7)</f>
        <v>204</v>
      </c>
      <c r="C12" s="5">
        <f t="shared" ref="C12:T12" si="9">SUM(C3,C4,C6,C7)</f>
        <v>202</v>
      </c>
      <c r="D12" s="5">
        <f t="shared" si="9"/>
        <v>205</v>
      </c>
      <c r="E12" s="5">
        <f t="shared" si="9"/>
        <v>202</v>
      </c>
      <c r="F12" s="5">
        <f t="shared" si="9"/>
        <v>203</v>
      </c>
      <c r="G12" s="5">
        <f t="shared" si="9"/>
        <v>204</v>
      </c>
      <c r="H12" s="5">
        <f t="shared" si="9"/>
        <v>202</v>
      </c>
      <c r="I12" s="5">
        <f t="shared" si="9"/>
        <v>203</v>
      </c>
      <c r="J12" s="5">
        <f t="shared" si="9"/>
        <v>204</v>
      </c>
      <c r="K12" s="5">
        <f t="shared" si="9"/>
        <v>203</v>
      </c>
      <c r="L12" s="5">
        <f t="shared" si="9"/>
        <v>205</v>
      </c>
      <c r="M12" s="5">
        <f t="shared" si="9"/>
        <v>204</v>
      </c>
      <c r="N12" s="5">
        <f t="shared" si="9"/>
        <v>202</v>
      </c>
      <c r="O12" s="5">
        <f t="shared" si="9"/>
        <v>203</v>
      </c>
      <c r="P12" s="5">
        <f t="shared" si="9"/>
        <v>203</v>
      </c>
      <c r="Q12" s="5">
        <f t="shared" si="9"/>
        <v>203</v>
      </c>
      <c r="R12" s="5">
        <f t="shared" si="9"/>
        <v>204</v>
      </c>
      <c r="S12" s="5">
        <f t="shared" si="9"/>
        <v>204</v>
      </c>
      <c r="T12" s="5">
        <f t="shared" si="9"/>
        <v>204</v>
      </c>
    </row>
    <row r="13" spans="1:20" x14ac:dyDescent="0.25">
      <c r="A13" s="5" t="s">
        <v>313</v>
      </c>
      <c r="B13" s="5">
        <f>SUM(B3:B10)</f>
        <v>365</v>
      </c>
      <c r="C13" s="5">
        <f t="shared" ref="C13:T13" si="10">SUM(C3:C10)</f>
        <v>365</v>
      </c>
      <c r="D13" s="5">
        <f t="shared" si="10"/>
        <v>366</v>
      </c>
      <c r="E13" s="5">
        <f t="shared" si="10"/>
        <v>365</v>
      </c>
      <c r="F13" s="5">
        <f t="shared" si="10"/>
        <v>365</v>
      </c>
      <c r="G13" s="5">
        <f t="shared" si="10"/>
        <v>365</v>
      </c>
      <c r="H13" s="5">
        <f t="shared" si="10"/>
        <v>366</v>
      </c>
      <c r="I13" s="5">
        <f t="shared" si="10"/>
        <v>365</v>
      </c>
      <c r="J13" s="5">
        <f t="shared" si="10"/>
        <v>365</v>
      </c>
      <c r="K13" s="5">
        <f t="shared" si="10"/>
        <v>365</v>
      </c>
      <c r="L13" s="5">
        <f t="shared" si="10"/>
        <v>366</v>
      </c>
      <c r="M13" s="5">
        <f t="shared" si="10"/>
        <v>365</v>
      </c>
      <c r="N13" s="5">
        <f t="shared" si="10"/>
        <v>365</v>
      </c>
      <c r="O13" s="5">
        <f t="shared" si="10"/>
        <v>365</v>
      </c>
      <c r="P13" s="5">
        <f t="shared" si="10"/>
        <v>366</v>
      </c>
      <c r="Q13" s="5">
        <f t="shared" si="10"/>
        <v>365</v>
      </c>
      <c r="R13" s="5">
        <f t="shared" si="10"/>
        <v>365</v>
      </c>
      <c r="S13" s="5">
        <f t="shared" si="10"/>
        <v>365</v>
      </c>
      <c r="T13" s="5">
        <f t="shared" si="10"/>
        <v>366</v>
      </c>
    </row>
    <row r="14" spans="1:20" x14ac:dyDescent="0.25">
      <c r="A14" s="6"/>
      <c r="B14" s="6"/>
      <c r="C14" s="6"/>
      <c r="D14" s="6"/>
      <c r="E14" s="6"/>
      <c r="F14" s="6"/>
      <c r="G14" s="6"/>
      <c r="H14" s="6"/>
      <c r="I14" s="6"/>
      <c r="J14" s="6"/>
      <c r="K14" s="6"/>
      <c r="L14" s="6"/>
      <c r="M14" s="6"/>
      <c r="N14" s="6"/>
      <c r="O14" s="6"/>
      <c r="P14" s="6"/>
      <c r="Q14" s="6"/>
      <c r="R14" s="6"/>
      <c r="S14" s="6"/>
      <c r="T14" s="6"/>
    </row>
    <row r="15" spans="1:20" x14ac:dyDescent="0.25">
      <c r="A15" s="6"/>
      <c r="B15" s="6"/>
      <c r="C15" s="6"/>
      <c r="D15" s="6"/>
      <c r="E15" s="6"/>
      <c r="F15" s="6"/>
      <c r="G15" s="6"/>
      <c r="H15" s="6"/>
      <c r="I15" s="6"/>
      <c r="J15" s="6"/>
      <c r="K15" s="6"/>
      <c r="L15" s="6"/>
      <c r="M15" s="6"/>
      <c r="N15" s="6"/>
      <c r="O15" s="6"/>
      <c r="P15" s="6"/>
      <c r="Q15" s="6"/>
      <c r="R15" s="6"/>
      <c r="S15" s="6"/>
      <c r="T15" s="6"/>
    </row>
    <row r="16" spans="1:20" x14ac:dyDescent="0.25">
      <c r="A16" s="6"/>
      <c r="B16" s="6"/>
      <c r="C16" s="6"/>
      <c r="D16" s="6"/>
      <c r="E16" s="6"/>
      <c r="F16" s="6"/>
      <c r="G16" s="6"/>
      <c r="H16" s="6"/>
      <c r="I16" s="6"/>
      <c r="J16" s="6"/>
      <c r="K16" s="6"/>
      <c r="L16" s="6"/>
      <c r="M16" s="6"/>
      <c r="N16" s="6"/>
      <c r="O16" s="6"/>
      <c r="P16" s="6"/>
      <c r="Q16" s="6"/>
      <c r="R16" s="6"/>
      <c r="S16" s="6"/>
      <c r="T16" s="6"/>
    </row>
    <row r="17" spans="1:20" x14ac:dyDescent="0.25">
      <c r="A17" s="6"/>
      <c r="B17" s="6"/>
      <c r="C17" s="6"/>
      <c r="D17" s="6"/>
      <c r="E17" s="6"/>
      <c r="F17" s="6"/>
      <c r="G17" s="6"/>
      <c r="H17" s="6"/>
      <c r="I17" s="6"/>
      <c r="J17" s="6"/>
      <c r="K17" s="6"/>
      <c r="L17" s="6"/>
      <c r="M17" s="6"/>
      <c r="N17" s="6"/>
      <c r="O17" s="6"/>
      <c r="P17" s="6"/>
      <c r="Q17" s="6"/>
      <c r="R17" s="6"/>
      <c r="S17" s="6"/>
      <c r="T17" s="6"/>
    </row>
    <row r="18" spans="1:20" x14ac:dyDescent="0.25">
      <c r="A18" s="6"/>
      <c r="B18" s="6"/>
      <c r="C18" s="6"/>
      <c r="D18" s="6"/>
      <c r="E18" s="6"/>
      <c r="F18" s="6"/>
      <c r="G18" s="6"/>
      <c r="H18" s="6"/>
      <c r="I18" s="6"/>
      <c r="J18" s="6"/>
      <c r="K18" s="6"/>
      <c r="L18" s="6"/>
      <c r="M18" s="6"/>
      <c r="N18" s="6"/>
      <c r="O18" s="6"/>
      <c r="P18" s="6"/>
      <c r="Q18" s="6"/>
      <c r="R18" s="6"/>
      <c r="S18" s="6"/>
      <c r="T18" s="6"/>
    </row>
    <row r="19" spans="1:20" x14ac:dyDescent="0.25">
      <c r="A19" s="6"/>
      <c r="B19" s="6"/>
      <c r="C19" s="6"/>
      <c r="D19" s="6"/>
      <c r="E19" s="6"/>
      <c r="F19" s="6"/>
      <c r="G19" s="6"/>
      <c r="H19" s="6"/>
      <c r="I19" s="6"/>
      <c r="J19" s="6"/>
      <c r="K19" s="6"/>
      <c r="L19" s="6"/>
      <c r="M19" s="6"/>
      <c r="N19" s="6"/>
      <c r="O19" s="6"/>
      <c r="P19" s="6"/>
      <c r="Q19" s="6"/>
      <c r="R19" s="6"/>
      <c r="S19" s="6"/>
      <c r="T19" s="6"/>
    </row>
    <row r="20" spans="1:20" x14ac:dyDescent="0.25">
      <c r="A20" s="6"/>
      <c r="B20" s="6"/>
      <c r="C20" s="6"/>
      <c r="D20" s="6"/>
      <c r="E20" s="6"/>
      <c r="F20" s="6"/>
      <c r="G20" s="6"/>
      <c r="H20" s="6"/>
      <c r="I20" s="6"/>
      <c r="J20" s="6"/>
      <c r="K20" s="6"/>
      <c r="L20" s="6"/>
      <c r="M20" s="6"/>
      <c r="N20" s="6"/>
      <c r="O20" s="6"/>
      <c r="P20" s="6"/>
      <c r="Q20" s="6"/>
      <c r="R20" s="6"/>
      <c r="S20" s="6"/>
      <c r="T20" s="6"/>
    </row>
    <row r="21" spans="1:20" x14ac:dyDescent="0.25">
      <c r="A21" s="6"/>
      <c r="B21" s="6"/>
      <c r="C21" s="6"/>
      <c r="D21" s="6"/>
      <c r="E21" s="6"/>
      <c r="F21" s="6"/>
      <c r="G21" s="6"/>
      <c r="H21" s="6"/>
      <c r="I21" s="6"/>
      <c r="J21" s="6"/>
      <c r="K21" s="6"/>
      <c r="L21" s="6"/>
      <c r="M21" s="6"/>
      <c r="N21" s="6"/>
      <c r="O21" s="6"/>
      <c r="P21" s="6"/>
      <c r="Q21" s="6"/>
      <c r="R21" s="6"/>
      <c r="S21" s="6"/>
      <c r="T21" s="6"/>
    </row>
    <row r="22" spans="1:20" x14ac:dyDescent="0.25">
      <c r="A22" s="6"/>
      <c r="B22" s="6"/>
      <c r="C22" s="6"/>
      <c r="D22" s="6"/>
      <c r="E22" s="6"/>
      <c r="F22" s="6"/>
      <c r="G22" s="6"/>
      <c r="H22" s="6"/>
      <c r="I22" s="6"/>
      <c r="J22" s="6"/>
      <c r="K22" s="6"/>
      <c r="L22" s="6"/>
      <c r="M22" s="6"/>
      <c r="N22" s="6"/>
      <c r="O22" s="6"/>
      <c r="P22" s="6"/>
      <c r="Q22" s="6"/>
      <c r="R22" s="6"/>
      <c r="S22" s="6"/>
      <c r="T22" s="6"/>
    </row>
    <row r="23" spans="1:20" x14ac:dyDescent="0.25">
      <c r="A23" s="6"/>
      <c r="B23" s="6"/>
      <c r="C23" s="6"/>
      <c r="D23" s="6"/>
      <c r="E23" s="6"/>
      <c r="F23" s="6"/>
      <c r="G23" s="6"/>
      <c r="H23" s="6"/>
      <c r="I23" s="6"/>
      <c r="J23" s="6"/>
      <c r="K23" s="6"/>
      <c r="L23" s="6"/>
      <c r="M23" s="6"/>
      <c r="N23" s="6"/>
      <c r="O23" s="6"/>
      <c r="P23" s="6"/>
      <c r="Q23" s="6"/>
      <c r="R23" s="6"/>
      <c r="S23" s="6"/>
      <c r="T23" s="6"/>
    </row>
    <row r="24" spans="1:20" x14ac:dyDescent="0.25">
      <c r="A24" s="6"/>
      <c r="B24" s="6"/>
      <c r="C24" s="6"/>
      <c r="D24" s="6"/>
      <c r="E24" s="6"/>
      <c r="F24" s="6"/>
      <c r="G24" s="6"/>
      <c r="H24" s="6"/>
      <c r="I24" s="6"/>
      <c r="J24" s="6"/>
      <c r="K24" s="6"/>
      <c r="L24" s="6"/>
      <c r="M24" s="6"/>
      <c r="N24" s="6"/>
      <c r="O24" s="6"/>
      <c r="P24" s="6"/>
      <c r="Q24" s="6"/>
      <c r="R24" s="6"/>
      <c r="S24" s="6"/>
      <c r="T24" s="6"/>
    </row>
    <row r="25" spans="1:20" x14ac:dyDescent="0.25">
      <c r="A25" s="6"/>
      <c r="B25" s="6"/>
      <c r="C25" s="6"/>
      <c r="D25" s="6"/>
      <c r="E25" s="6"/>
      <c r="F25" s="6"/>
      <c r="G25" s="6"/>
      <c r="H25" s="6"/>
      <c r="I25" s="6"/>
      <c r="J25" s="6"/>
      <c r="K25" s="6"/>
      <c r="L25" s="6"/>
      <c r="M25" s="6"/>
      <c r="N25" s="6"/>
      <c r="O25" s="6"/>
      <c r="P25" s="6"/>
      <c r="Q25" s="6"/>
      <c r="R25" s="6"/>
      <c r="S25" s="6"/>
      <c r="T25" s="6"/>
    </row>
    <row r="27" spans="1:20" x14ac:dyDescent="0.25">
      <c r="A27" t="s">
        <v>554</v>
      </c>
      <c r="B27" s="4">
        <v>44562</v>
      </c>
      <c r="C27" s="4">
        <v>44927</v>
      </c>
      <c r="D27" s="4">
        <v>45292</v>
      </c>
      <c r="E27" s="4">
        <v>45658</v>
      </c>
      <c r="F27" s="4">
        <v>46023</v>
      </c>
      <c r="G27" s="4">
        <v>46388</v>
      </c>
      <c r="H27" s="4">
        <v>46753</v>
      </c>
      <c r="I27" s="4">
        <v>47119</v>
      </c>
      <c r="J27" s="4">
        <v>47484</v>
      </c>
      <c r="K27" s="4">
        <v>47849</v>
      </c>
      <c r="L27" s="4">
        <v>48214</v>
      </c>
      <c r="M27" s="4">
        <v>48580</v>
      </c>
      <c r="N27" s="4">
        <v>48945</v>
      </c>
      <c r="O27" s="4">
        <v>49310</v>
      </c>
      <c r="P27" s="4">
        <v>49675</v>
      </c>
      <c r="Q27" s="4">
        <v>50041</v>
      </c>
      <c r="R27" s="4">
        <v>50406</v>
      </c>
      <c r="S27" s="4">
        <v>50771</v>
      </c>
      <c r="T27" s="4">
        <v>51136</v>
      </c>
    </row>
    <row r="28" spans="1:20" x14ac:dyDescent="0.25">
      <c r="A28" t="s">
        <v>555</v>
      </c>
      <c r="B28" s="4">
        <v>44668</v>
      </c>
      <c r="C28" s="4">
        <v>45025</v>
      </c>
      <c r="D28" s="4">
        <v>45382</v>
      </c>
      <c r="E28" s="4">
        <v>45767</v>
      </c>
      <c r="F28" s="4">
        <v>46117</v>
      </c>
      <c r="G28" s="4">
        <v>46474</v>
      </c>
      <c r="H28" s="4">
        <v>46859</v>
      </c>
      <c r="I28" s="4">
        <v>47209</v>
      </c>
      <c r="J28" s="4">
        <v>47594</v>
      </c>
      <c r="K28" s="4">
        <v>47951</v>
      </c>
      <c r="L28" s="4">
        <v>48301</v>
      </c>
      <c r="M28" s="4">
        <v>48686</v>
      </c>
      <c r="N28" s="4">
        <v>49043</v>
      </c>
      <c r="O28" s="4">
        <v>49393</v>
      </c>
      <c r="P28" s="4">
        <v>49778</v>
      </c>
      <c r="Q28" s="4">
        <v>50135</v>
      </c>
      <c r="R28" s="4">
        <v>50520</v>
      </c>
      <c r="S28" s="4">
        <v>50870</v>
      </c>
      <c r="T28" s="4">
        <v>51227</v>
      </c>
    </row>
    <row r="29" spans="1:20" x14ac:dyDescent="0.25">
      <c r="A29" t="s">
        <v>556</v>
      </c>
      <c r="B29" s="4">
        <v>44669</v>
      </c>
      <c r="C29" s="4">
        <v>45026</v>
      </c>
      <c r="D29" s="4">
        <v>45383</v>
      </c>
      <c r="E29" s="4">
        <v>45768</v>
      </c>
      <c r="F29" s="4">
        <v>46118</v>
      </c>
      <c r="G29" s="4">
        <v>46475</v>
      </c>
      <c r="H29" s="4">
        <v>46860</v>
      </c>
      <c r="I29" s="4">
        <v>47210</v>
      </c>
      <c r="J29" s="4">
        <v>47595</v>
      </c>
      <c r="K29" s="4">
        <v>47952</v>
      </c>
      <c r="L29" s="4">
        <v>48302</v>
      </c>
      <c r="M29" s="4">
        <v>48687</v>
      </c>
      <c r="N29" s="4">
        <v>49044</v>
      </c>
      <c r="O29" s="4">
        <v>49394</v>
      </c>
      <c r="P29" s="4">
        <v>49779</v>
      </c>
      <c r="Q29" s="4">
        <v>50136</v>
      </c>
      <c r="R29" s="4">
        <v>50521</v>
      </c>
      <c r="S29" s="4">
        <v>50871</v>
      </c>
      <c r="T29" s="4">
        <v>51228</v>
      </c>
    </row>
    <row r="30" spans="1:20" x14ac:dyDescent="0.25">
      <c r="A30" t="s">
        <v>557</v>
      </c>
      <c r="B30" s="4">
        <v>44678</v>
      </c>
      <c r="C30" s="4">
        <v>45043</v>
      </c>
      <c r="D30" s="4">
        <v>45409</v>
      </c>
      <c r="E30" s="4">
        <v>45773</v>
      </c>
      <c r="F30" s="4">
        <v>46139</v>
      </c>
      <c r="G30" s="4">
        <v>46504</v>
      </c>
      <c r="H30" s="4">
        <v>46870</v>
      </c>
      <c r="I30" s="4">
        <v>47235</v>
      </c>
      <c r="J30" s="4">
        <v>47600</v>
      </c>
      <c r="K30" s="4">
        <v>47964</v>
      </c>
      <c r="L30" s="4">
        <v>48331</v>
      </c>
      <c r="M30" s="4">
        <v>48696</v>
      </c>
      <c r="N30" s="4">
        <v>49061</v>
      </c>
      <c r="O30" s="4">
        <v>49426</v>
      </c>
      <c r="P30" s="4">
        <v>49791</v>
      </c>
      <c r="Q30" s="4">
        <v>50157</v>
      </c>
      <c r="R30" s="4">
        <v>50522</v>
      </c>
      <c r="S30" s="4">
        <v>50887</v>
      </c>
      <c r="T30" s="4">
        <v>51253</v>
      </c>
    </row>
    <row r="31" spans="1:20" x14ac:dyDescent="0.25">
      <c r="A31" t="s">
        <v>558</v>
      </c>
      <c r="B31" s="4"/>
      <c r="C31" s="4"/>
      <c r="D31" s="4"/>
      <c r="E31" s="4">
        <v>45782</v>
      </c>
      <c r="F31" s="4"/>
      <c r="G31" s="4"/>
      <c r="H31" s="4"/>
      <c r="I31" s="4"/>
      <c r="J31" s="4">
        <v>47608</v>
      </c>
      <c r="K31" s="4"/>
      <c r="L31" s="4"/>
      <c r="M31" s="4"/>
      <c r="N31" s="4"/>
      <c r="O31" s="4">
        <v>49434</v>
      </c>
      <c r="P31" s="4"/>
      <c r="Q31" s="4"/>
      <c r="R31" s="4"/>
      <c r="S31" s="4"/>
      <c r="T31" s="4">
        <v>51261</v>
      </c>
    </row>
    <row r="32" spans="1:20" x14ac:dyDescent="0.25">
      <c r="A32" t="s">
        <v>559</v>
      </c>
      <c r="B32" s="4">
        <v>44707</v>
      </c>
      <c r="C32" s="4">
        <v>45064</v>
      </c>
      <c r="D32" s="4">
        <v>45421</v>
      </c>
      <c r="E32" s="4">
        <v>45806</v>
      </c>
      <c r="F32" s="4">
        <v>46156</v>
      </c>
      <c r="G32" s="4">
        <v>46513</v>
      </c>
      <c r="H32" s="4">
        <v>46898</v>
      </c>
      <c r="I32" s="4">
        <v>47248</v>
      </c>
      <c r="J32" s="4">
        <v>47633</v>
      </c>
      <c r="K32" s="4">
        <v>47990</v>
      </c>
      <c r="L32" s="4">
        <v>48340</v>
      </c>
      <c r="M32" s="4">
        <v>48725</v>
      </c>
      <c r="N32" s="4">
        <v>49082</v>
      </c>
      <c r="O32" s="4">
        <v>49432</v>
      </c>
      <c r="P32" s="4">
        <v>49817</v>
      </c>
      <c r="Q32" s="4">
        <v>50174</v>
      </c>
      <c r="R32" s="4">
        <v>50559</v>
      </c>
      <c r="S32" s="4">
        <v>50909</v>
      </c>
      <c r="T32" s="4">
        <v>51266</v>
      </c>
    </row>
    <row r="33" spans="1:20" x14ac:dyDescent="0.25">
      <c r="A33" t="s">
        <v>560</v>
      </c>
      <c r="B33" s="4">
        <v>44717</v>
      </c>
      <c r="C33" s="4">
        <v>45074</v>
      </c>
      <c r="D33" s="4">
        <v>45431</v>
      </c>
      <c r="E33" s="4">
        <v>45816</v>
      </c>
      <c r="F33" s="4">
        <v>46166</v>
      </c>
      <c r="G33" s="4">
        <v>46523</v>
      </c>
      <c r="H33" s="4">
        <v>46908</v>
      </c>
      <c r="I33" s="4">
        <v>47258</v>
      </c>
      <c r="J33" s="4">
        <v>47643</v>
      </c>
      <c r="K33" s="4">
        <v>48000</v>
      </c>
      <c r="L33" s="4">
        <v>48350</v>
      </c>
      <c r="M33" s="4">
        <v>48735</v>
      </c>
      <c r="N33" s="4">
        <v>49092</v>
      </c>
      <c r="O33" s="4">
        <v>49442</v>
      </c>
      <c r="P33" s="4">
        <v>49827</v>
      </c>
      <c r="Q33" s="4">
        <v>50184</v>
      </c>
      <c r="R33" s="4">
        <v>50569</v>
      </c>
      <c r="S33" s="4">
        <v>50919</v>
      </c>
      <c r="T33" s="4">
        <v>51276</v>
      </c>
    </row>
    <row r="34" spans="1:20" x14ac:dyDescent="0.25">
      <c r="A34" t="s">
        <v>561</v>
      </c>
      <c r="B34" s="4">
        <v>44718</v>
      </c>
      <c r="C34" s="4">
        <v>45075</v>
      </c>
      <c r="D34" s="4">
        <v>45432</v>
      </c>
      <c r="E34" s="4">
        <v>45817</v>
      </c>
      <c r="F34" s="4">
        <v>46167</v>
      </c>
      <c r="G34" s="4">
        <v>46524</v>
      </c>
      <c r="H34" s="4">
        <v>46909</v>
      </c>
      <c r="I34" s="4">
        <v>47259</v>
      </c>
      <c r="J34" s="4">
        <v>47644</v>
      </c>
      <c r="K34" s="4">
        <v>48001</v>
      </c>
      <c r="L34" s="4">
        <v>48351</v>
      </c>
      <c r="M34" s="4">
        <v>48736</v>
      </c>
      <c r="N34" s="4">
        <v>49093</v>
      </c>
      <c r="O34" s="4">
        <v>49443</v>
      </c>
      <c r="P34" s="4">
        <v>49828</v>
      </c>
      <c r="Q34" s="4">
        <v>50185</v>
      </c>
      <c r="R34" s="4">
        <v>50570</v>
      </c>
      <c r="S34" s="4">
        <v>50920</v>
      </c>
      <c r="T34" s="4">
        <v>51277</v>
      </c>
    </row>
    <row r="35" spans="1:20" x14ac:dyDescent="0.25">
      <c r="A35" t="s">
        <v>562</v>
      </c>
      <c r="B35" s="4">
        <v>44920</v>
      </c>
      <c r="C35" s="4">
        <v>45285</v>
      </c>
      <c r="D35" s="4">
        <v>45651</v>
      </c>
      <c r="E35" s="4">
        <v>46016</v>
      </c>
      <c r="F35" s="4">
        <v>46381</v>
      </c>
      <c r="G35" s="4">
        <v>46746</v>
      </c>
      <c r="H35" s="4">
        <v>47112</v>
      </c>
      <c r="I35" s="4">
        <v>47477</v>
      </c>
      <c r="J35" s="4">
        <v>47842</v>
      </c>
      <c r="K35" s="4">
        <v>48207</v>
      </c>
      <c r="L35" s="4">
        <v>48573</v>
      </c>
      <c r="M35" s="4">
        <v>48938</v>
      </c>
      <c r="N35" s="4">
        <v>49303</v>
      </c>
      <c r="O35" s="4">
        <v>49668</v>
      </c>
      <c r="P35" s="4">
        <v>50034</v>
      </c>
      <c r="Q35" s="4">
        <v>50399</v>
      </c>
      <c r="R35" s="4">
        <v>50764</v>
      </c>
      <c r="S35" s="4">
        <v>51129</v>
      </c>
      <c r="T35" s="4">
        <v>51495</v>
      </c>
    </row>
    <row r="36" spans="1:20" x14ac:dyDescent="0.25">
      <c r="A36" t="s">
        <v>563</v>
      </c>
      <c r="B36" s="4">
        <v>44921</v>
      </c>
      <c r="C36" s="4">
        <v>45286</v>
      </c>
      <c r="D36" s="4">
        <v>45652</v>
      </c>
      <c r="E36" s="4">
        <v>46017</v>
      </c>
      <c r="F36" s="4">
        <v>46382</v>
      </c>
      <c r="G36" s="4">
        <v>46747</v>
      </c>
      <c r="H36" s="4">
        <v>47113</v>
      </c>
      <c r="I36" s="4">
        <v>47478</v>
      </c>
      <c r="J36" s="4">
        <v>47843</v>
      </c>
      <c r="K36" s="4">
        <v>48208</v>
      </c>
      <c r="L36" s="4">
        <v>48574</v>
      </c>
      <c r="M36" s="4">
        <v>48939</v>
      </c>
      <c r="N36" s="4">
        <v>49304</v>
      </c>
      <c r="O36" s="4">
        <v>49669</v>
      </c>
      <c r="P36" s="4">
        <v>50035</v>
      </c>
      <c r="Q36" s="4">
        <v>50400</v>
      </c>
      <c r="R36" s="4">
        <v>50765</v>
      </c>
      <c r="S36" s="4">
        <v>51130</v>
      </c>
      <c r="T36" s="4">
        <v>51496</v>
      </c>
    </row>
    <row r="38" spans="1:20" x14ac:dyDescent="0.25">
      <c r="B38" s="4"/>
    </row>
    <row r="39" spans="1:20" x14ac:dyDescent="0.25">
      <c r="B39" s="4"/>
    </row>
  </sheetData>
  <pageMargins left="0.7" right="0.7" top="0.75" bottom="0.75" header="0.3" footer="0.3"/>
  <pageSetup paperSize="9" orientation="portrait" horizontalDpi="0"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08CBC-BD3D-4216-B96F-63EFCCFD52FE}">
  <sheetPr codeName="Blad12">
    <tabColor theme="7" tint="-0.499984740745262"/>
    <pageSetUpPr fitToPage="1"/>
  </sheetPr>
  <dimension ref="B1:O32"/>
  <sheetViews>
    <sheetView showGridLines="0" showRowColHeaders="0" topLeftCell="A8" zoomScaleNormal="100" workbookViewId="0">
      <selection sqref="A1:XFD7"/>
    </sheetView>
  </sheetViews>
  <sheetFormatPr defaultColWidth="10.85546875" defaultRowHeight="12" x14ac:dyDescent="0.2"/>
  <cols>
    <col min="1" max="1" width="10.85546875" style="9"/>
    <col min="2" max="2" width="32.42578125" style="9" customWidth="1"/>
    <col min="3" max="3" width="10.7109375" style="9" customWidth="1"/>
    <col min="4" max="5" width="10.85546875" style="9"/>
    <col min="6" max="6" width="11" style="9" customWidth="1"/>
    <col min="7" max="16384" width="10.85546875" style="9"/>
  </cols>
  <sheetData>
    <row r="1" spans="2:15" ht="12.75" hidden="1" thickBot="1" x14ac:dyDescent="0.25"/>
    <row r="2" spans="2:15" ht="32.1" hidden="1" customHeight="1" thickBot="1" x14ac:dyDescent="0.25">
      <c r="B2" s="545" t="s">
        <v>351</v>
      </c>
      <c r="C2" s="546"/>
      <c r="D2" s="537" t="s">
        <v>352</v>
      </c>
      <c r="E2" s="538"/>
      <c r="F2" s="537" t="s">
        <v>353</v>
      </c>
      <c r="G2" s="538"/>
      <c r="H2" s="537" t="s">
        <v>355</v>
      </c>
      <c r="I2" s="538"/>
      <c r="J2" s="572">
        <f>Uurtarieven!J2</f>
        <v>0</v>
      </c>
      <c r="K2" s="573"/>
      <c r="L2" s="572">
        <f>Uurtarieven!L2</f>
        <v>0</v>
      </c>
      <c r="M2" s="573"/>
      <c r="N2" s="537" t="s">
        <v>354</v>
      </c>
      <c r="O2" s="538"/>
    </row>
    <row r="3" spans="2:15" ht="12.75" hidden="1" thickBot="1" x14ac:dyDescent="0.25">
      <c r="D3" s="539"/>
      <c r="E3" s="539"/>
      <c r="F3" s="211"/>
      <c r="H3" s="539"/>
      <c r="I3" s="539"/>
      <c r="J3" s="211"/>
      <c r="L3" s="539"/>
      <c r="M3" s="539"/>
      <c r="N3" s="539"/>
      <c r="O3" s="539"/>
    </row>
    <row r="4" spans="2:15" hidden="1" x14ac:dyDescent="0.2">
      <c r="B4" s="212" t="s">
        <v>356</v>
      </c>
      <c r="C4" s="13"/>
      <c r="D4" s="14"/>
      <c r="E4" s="213" t="str">
        <f>IF(Uurtarieven!E4&lt;&gt;"",Uurtarieven!E4,"")</f>
        <v/>
      </c>
      <c r="F4" s="14"/>
      <c r="G4" s="213" t="str">
        <f>IF(Uurtarieven!G4&lt;&gt;"",Uurtarieven!G4,"")</f>
        <v/>
      </c>
      <c r="H4" s="14"/>
      <c r="I4" s="213" t="str">
        <f>IF(Uurtarieven!I4&lt;&gt;"",Uurtarieven!I4,"")</f>
        <v/>
      </c>
      <c r="J4" s="14"/>
      <c r="K4" s="213" t="str">
        <f>IF(Uurtarieven!K4&lt;&gt;"",Uurtarieven!K4,"")</f>
        <v/>
      </c>
      <c r="L4" s="14"/>
      <c r="M4" s="213" t="str">
        <f>IF(Uurtarieven!M4&lt;&gt;"",Uurtarieven!M4,"")</f>
        <v/>
      </c>
      <c r="N4" s="14"/>
      <c r="O4" s="213" t="str">
        <f>IF(Uurtarieven!O4&lt;&gt;"",Uurtarieven!O4,"")</f>
        <v/>
      </c>
    </row>
    <row r="5" spans="2:15" hidden="1" x14ac:dyDescent="0.2">
      <c r="B5" s="214" t="s">
        <v>364</v>
      </c>
      <c r="C5" s="15"/>
      <c r="D5" s="16"/>
      <c r="E5" s="215" t="str">
        <f>IF(Uurtarieven!E18&gt;0,Uurtarieven!E18,"")</f>
        <v/>
      </c>
      <c r="F5" s="16"/>
      <c r="G5" s="215" t="str">
        <f>IF(Uurtarieven!G18&gt;0,Uurtarieven!G18,"")</f>
        <v/>
      </c>
      <c r="H5" s="16"/>
      <c r="I5" s="215" t="str">
        <f>IF(Uurtarieven!I18&gt;0,Uurtarieven!I18,"")</f>
        <v/>
      </c>
      <c r="J5" s="16"/>
      <c r="K5" s="215" t="str">
        <f>IF(Uurtarieven!K18&gt;0,Uurtarieven!K18,"")</f>
        <v/>
      </c>
      <c r="L5" s="16"/>
      <c r="M5" s="215" t="str">
        <f>IF(Uurtarieven!M18&gt;0,Uurtarieven!M18,"")</f>
        <v/>
      </c>
      <c r="N5" s="16"/>
      <c r="O5" s="215" t="str">
        <f>IF(Uurtarieven!O18&gt;0,Uurtarieven!O18,"")</f>
        <v/>
      </c>
    </row>
    <row r="6" spans="2:15" ht="12.75" hidden="1" thickBot="1" x14ac:dyDescent="0.25">
      <c r="B6" s="216" t="s">
        <v>380</v>
      </c>
      <c r="C6" s="17"/>
      <c r="D6" s="540" t="str">
        <f>Uurtarieven!D42</f>
        <v/>
      </c>
      <c r="E6" s="541"/>
      <c r="F6" s="540" t="str">
        <f>Uurtarieven!F42</f>
        <v/>
      </c>
      <c r="G6" s="541"/>
      <c r="H6" s="540" t="str">
        <f>Uurtarieven!H42</f>
        <v/>
      </c>
      <c r="I6" s="541"/>
      <c r="J6" s="540" t="str">
        <f>Uurtarieven!J42</f>
        <v/>
      </c>
      <c r="K6" s="541"/>
      <c r="L6" s="540" t="str">
        <f>Uurtarieven!L42</f>
        <v/>
      </c>
      <c r="M6" s="541"/>
      <c r="N6" s="540" t="str">
        <f>Uurtarieven!N42</f>
        <v/>
      </c>
      <c r="O6" s="541"/>
    </row>
    <row r="7" spans="2:15" s="219" customFormat="1" hidden="1" x14ac:dyDescent="0.2">
      <c r="B7" s="217"/>
      <c r="C7" s="18"/>
      <c r="D7" s="218"/>
      <c r="E7" s="218"/>
      <c r="F7" s="218"/>
      <c r="G7" s="218"/>
      <c r="H7" s="218"/>
      <c r="I7" s="218"/>
      <c r="J7" s="218"/>
      <c r="K7" s="218"/>
      <c r="L7" s="218"/>
      <c r="M7" s="218"/>
      <c r="N7" s="218"/>
      <c r="O7" s="218"/>
    </row>
    <row r="8" spans="2:15" s="219" customFormat="1" x14ac:dyDescent="0.2">
      <c r="B8" s="217"/>
      <c r="C8" s="18"/>
      <c r="D8" s="218"/>
      <c r="E8" s="218"/>
      <c r="F8" s="218"/>
      <c r="G8" s="218"/>
      <c r="H8" s="218"/>
      <c r="I8" s="218"/>
      <c r="J8" s="218"/>
      <c r="K8" s="218"/>
      <c r="L8" s="218"/>
      <c r="M8" s="218"/>
      <c r="N8" s="218"/>
      <c r="O8" s="218"/>
    </row>
    <row r="9" spans="2:15" s="219" customFormat="1" ht="12.75" thickBot="1" x14ac:dyDescent="0.25">
      <c r="B9" s="217"/>
      <c r="C9" s="18"/>
      <c r="D9" s="218"/>
      <c r="E9" s="218"/>
      <c r="F9" s="218"/>
      <c r="G9" s="218"/>
      <c r="H9" s="218"/>
      <c r="I9" s="218"/>
      <c r="J9" s="218"/>
      <c r="K9" s="218"/>
      <c r="L9" s="218"/>
      <c r="M9" s="218"/>
      <c r="N9" s="218"/>
      <c r="O9" s="218"/>
    </row>
    <row r="10" spans="2:15" s="219" customFormat="1" ht="12.75" thickBot="1" x14ac:dyDescent="0.25">
      <c r="B10" s="220" t="s">
        <v>667</v>
      </c>
      <c r="C10" s="221"/>
      <c r="D10" s="221"/>
      <c r="E10" s="221"/>
      <c r="F10" s="221"/>
      <c r="G10" s="221"/>
      <c r="H10" s="221"/>
      <c r="I10" s="221"/>
      <c r="J10" s="222"/>
      <c r="K10" s="218"/>
      <c r="L10" s="218"/>
      <c r="M10" s="218"/>
      <c r="N10" s="218"/>
      <c r="O10" s="218"/>
    </row>
    <row r="11" spans="2:15" s="219" customFormat="1" ht="12.75" thickBot="1" x14ac:dyDescent="0.25">
      <c r="B11" s="223"/>
      <c r="C11" s="19" t="s">
        <v>668</v>
      </c>
      <c r="D11" s="224" t="s">
        <v>669</v>
      </c>
      <c r="E11" s="224" t="s">
        <v>670</v>
      </c>
      <c r="F11" s="224" t="s">
        <v>671</v>
      </c>
      <c r="G11" s="224" t="s">
        <v>672</v>
      </c>
      <c r="H11" s="224" t="s">
        <v>673</v>
      </c>
      <c r="I11" s="224" t="s">
        <v>674</v>
      </c>
      <c r="J11" s="225" t="s">
        <v>675</v>
      </c>
      <c r="K11" s="218"/>
      <c r="L11" s="218"/>
      <c r="M11" s="218"/>
      <c r="N11" s="218"/>
      <c r="O11" s="218"/>
    </row>
    <row r="12" spans="2:15" s="219" customFormat="1" x14ac:dyDescent="0.2">
      <c r="B12" s="226" t="s">
        <v>676</v>
      </c>
      <c r="C12" s="20">
        <v>0.5</v>
      </c>
      <c r="D12" s="227">
        <v>0.3</v>
      </c>
      <c r="E12" s="227">
        <v>0.3</v>
      </c>
      <c r="F12" s="227">
        <v>0.3</v>
      </c>
      <c r="G12" s="227">
        <v>0.3</v>
      </c>
      <c r="H12" s="227">
        <v>0.5</v>
      </c>
      <c r="I12" s="227">
        <v>0.5</v>
      </c>
      <c r="J12" s="228">
        <v>1.5</v>
      </c>
      <c r="K12" s="218"/>
      <c r="L12" s="218"/>
      <c r="M12" s="218"/>
      <c r="N12" s="218"/>
      <c r="O12" s="218"/>
    </row>
    <row r="13" spans="2:15" s="219" customFormat="1" x14ac:dyDescent="0.2">
      <c r="B13" s="226" t="s">
        <v>677</v>
      </c>
      <c r="C13" s="21">
        <v>0</v>
      </c>
      <c r="D13" s="229">
        <v>0</v>
      </c>
      <c r="E13" s="229">
        <v>0</v>
      </c>
      <c r="F13" s="229">
        <v>0</v>
      </c>
      <c r="G13" s="229">
        <v>0</v>
      </c>
      <c r="H13" s="229">
        <v>0.5</v>
      </c>
      <c r="I13" s="229">
        <v>0.5</v>
      </c>
      <c r="J13" s="230">
        <v>1.5</v>
      </c>
      <c r="K13" s="218"/>
      <c r="L13" s="218"/>
      <c r="M13" s="218"/>
      <c r="N13" s="218"/>
      <c r="O13" s="218"/>
    </row>
    <row r="14" spans="2:15" s="219" customFormat="1" ht="12.75" thickBot="1" x14ac:dyDescent="0.25">
      <c r="B14" s="231" t="s">
        <v>678</v>
      </c>
      <c r="C14" s="22">
        <v>0.3</v>
      </c>
      <c r="D14" s="232">
        <v>0.3</v>
      </c>
      <c r="E14" s="232">
        <v>0.3</v>
      </c>
      <c r="F14" s="232">
        <v>0.3</v>
      </c>
      <c r="G14" s="232">
        <v>0.5</v>
      </c>
      <c r="H14" s="232">
        <v>0.5</v>
      </c>
      <c r="I14" s="232">
        <v>0.5</v>
      </c>
      <c r="J14" s="233">
        <v>1.5</v>
      </c>
      <c r="K14" s="218"/>
      <c r="L14" s="218"/>
      <c r="M14" s="218"/>
      <c r="N14" s="218"/>
      <c r="O14" s="218"/>
    </row>
    <row r="15" spans="2:15" s="219" customFormat="1" ht="12.75" thickBot="1" x14ac:dyDescent="0.25">
      <c r="B15" s="217"/>
      <c r="C15" s="18"/>
      <c r="D15" s="218"/>
      <c r="E15" s="218"/>
      <c r="F15" s="218"/>
      <c r="G15" s="218"/>
      <c r="H15" s="218"/>
      <c r="I15" s="218"/>
      <c r="J15" s="218"/>
      <c r="K15" s="218"/>
      <c r="L15" s="218"/>
      <c r="M15" s="218"/>
      <c r="N15" s="218"/>
      <c r="O15" s="218"/>
    </row>
    <row r="16" spans="2:15" s="219" customFormat="1" ht="36" customHeight="1" thickBot="1" x14ac:dyDescent="0.25">
      <c r="B16" s="545" t="s">
        <v>351</v>
      </c>
      <c r="C16" s="546"/>
      <c r="D16" s="537" t="s">
        <v>352</v>
      </c>
      <c r="E16" s="538"/>
      <c r="F16" s="537" t="s">
        <v>353</v>
      </c>
      <c r="G16" s="538"/>
      <c r="H16" s="537" t="s">
        <v>355</v>
      </c>
      <c r="I16" s="538"/>
      <c r="J16" s="572">
        <f>Uurtarieven!J16</f>
        <v>0</v>
      </c>
      <c r="K16" s="573"/>
      <c r="L16" s="572">
        <f>Uurtarieven!L16</f>
        <v>0</v>
      </c>
      <c r="M16" s="573"/>
      <c r="N16" s="537" t="s">
        <v>354</v>
      </c>
      <c r="O16" s="538"/>
    </row>
    <row r="17" spans="2:15" s="219" customFormat="1" x14ac:dyDescent="0.2">
      <c r="B17" s="234" t="s">
        <v>679</v>
      </c>
      <c r="C17" s="23"/>
      <c r="D17" s="576" t="str">
        <f>IFERROR(D6,0)</f>
        <v/>
      </c>
      <c r="E17" s="576"/>
      <c r="F17" s="576" t="str">
        <f t="shared" ref="F17" si="0">IFERROR(F6,0)</f>
        <v/>
      </c>
      <c r="G17" s="576"/>
      <c r="H17" s="576" t="str">
        <f t="shared" ref="H17" si="1">IFERROR(H6,0)</f>
        <v/>
      </c>
      <c r="I17" s="576"/>
      <c r="J17" s="576" t="str">
        <f t="shared" ref="J17" si="2">IFERROR(J6,0)</f>
        <v/>
      </c>
      <c r="K17" s="576"/>
      <c r="L17" s="576" t="str">
        <f t="shared" ref="L17" si="3">IFERROR(L6,0)</f>
        <v/>
      </c>
      <c r="M17" s="576"/>
      <c r="N17" s="576" t="str">
        <f t="shared" ref="N17" si="4">IFERROR(N6,0)</f>
        <v/>
      </c>
      <c r="O17" s="576"/>
    </row>
    <row r="18" spans="2:15" s="219" customFormat="1" x14ac:dyDescent="0.2">
      <c r="B18" s="235" t="str">
        <f>"Totaal uurtarief ("&amp;D14*100&amp;"% toeslag)"</f>
        <v>Totaal uurtarief (30% toeslag)</v>
      </c>
      <c r="C18" s="24"/>
      <c r="D18" s="574">
        <f>IFERROR((D$6-E$5)+(E$5*$D$14)+E$5,0)</f>
        <v>0</v>
      </c>
      <c r="E18" s="574"/>
      <c r="F18" s="574">
        <f t="shared" ref="F18" si="5">IFERROR((F$6-G$5)+(G$5*$D$14)+G$5,0)</f>
        <v>0</v>
      </c>
      <c r="G18" s="574"/>
      <c r="H18" s="574">
        <f t="shared" ref="H18" si="6">IFERROR((H$6-I$5)+(I$5*$D$14)+I$5,0)</f>
        <v>0</v>
      </c>
      <c r="I18" s="574"/>
      <c r="J18" s="574">
        <f t="shared" ref="J18" si="7">IFERROR((J$6-K$5)+(K$5*$D$14)+K$5,0)</f>
        <v>0</v>
      </c>
      <c r="K18" s="574"/>
      <c r="L18" s="574">
        <f t="shared" ref="L18" si="8">IFERROR((L$6-M$5)+(M$5*$D$14)+M$5,0)</f>
        <v>0</v>
      </c>
      <c r="M18" s="574"/>
      <c r="N18" s="574">
        <f t="shared" ref="N18" si="9">IFERROR((N$6-O$5)+(O$5*$D$14)+O$5,0)</f>
        <v>0</v>
      </c>
      <c r="O18" s="574"/>
    </row>
    <row r="19" spans="2:15" s="219" customFormat="1" x14ac:dyDescent="0.2">
      <c r="B19" s="235" t="str">
        <f>"Totaal uurtarief ("&amp;H13*100&amp;"% toeslag)"</f>
        <v>Totaal uurtarief (50% toeslag)</v>
      </c>
      <c r="C19" s="24"/>
      <c r="D19" s="575">
        <f>IFERROR((D$6-E$5)+(E$5*$H$13)+E$5,0)</f>
        <v>0</v>
      </c>
      <c r="E19" s="575"/>
      <c r="F19" s="575">
        <f t="shared" ref="F19" si="10">IFERROR((F$6-G$5)+(G$5*$H$13)+G$5,0)</f>
        <v>0</v>
      </c>
      <c r="G19" s="575"/>
      <c r="H19" s="575">
        <f t="shared" ref="H19" si="11">IFERROR((H$6-I$5)+(I$5*$H$13)+I$5,0)</f>
        <v>0</v>
      </c>
      <c r="I19" s="575"/>
      <c r="J19" s="575">
        <f t="shared" ref="J19" si="12">IFERROR((J$6-K$5)+(K$5*$H$13)+K$5,0)</f>
        <v>0</v>
      </c>
      <c r="K19" s="575"/>
      <c r="L19" s="575">
        <f t="shared" ref="L19" si="13">IFERROR((L$6-M$5)+(M$5*$H$13)+M$5,0)</f>
        <v>0</v>
      </c>
      <c r="M19" s="575"/>
      <c r="N19" s="575">
        <f t="shared" ref="N19" si="14">IFERROR((N$6-O$5)+(O$5*$H$13)+O$5,0)</f>
        <v>0</v>
      </c>
      <c r="O19" s="575"/>
    </row>
    <row r="20" spans="2:15" s="219" customFormat="1" ht="12.75" thickBot="1" x14ac:dyDescent="0.25">
      <c r="B20" s="236" t="str">
        <f>"Totaal uurtarief ("&amp;J13*100&amp;"% toeslag)"</f>
        <v>Totaal uurtarief (150% toeslag)</v>
      </c>
      <c r="C20" s="25"/>
      <c r="D20" s="571">
        <f>IFERROR((D$6-E$5)+(E$5*$J$13)+E$5,0)</f>
        <v>0</v>
      </c>
      <c r="E20" s="571"/>
      <c r="F20" s="571">
        <f t="shared" ref="F20" si="15">IFERROR((F$6-G$5)+(G$5*$J$13)+G$5,0)</f>
        <v>0</v>
      </c>
      <c r="G20" s="571"/>
      <c r="H20" s="571">
        <f t="shared" ref="H20" si="16">IFERROR((H$6-I$5)+(I$5*$J$13)+I$5,0)</f>
        <v>0</v>
      </c>
      <c r="I20" s="571"/>
      <c r="J20" s="571">
        <f t="shared" ref="J20" si="17">IFERROR((J$6-K$5)+(K$5*$J$13)+K$5,0)</f>
        <v>0</v>
      </c>
      <c r="K20" s="571"/>
      <c r="L20" s="571">
        <f t="shared" ref="L20" si="18">IFERROR((L$6-M$5)+(M$5*$J$13)+M$5,0)</f>
        <v>0</v>
      </c>
      <c r="M20" s="571"/>
      <c r="N20" s="571">
        <f t="shared" ref="N20" si="19">IFERROR((N$6-O$5)+(O$5*$J$13)+O$5,0)</f>
        <v>0</v>
      </c>
      <c r="O20" s="571"/>
    </row>
    <row r="21" spans="2:15" s="219" customFormat="1" x14ac:dyDescent="0.2">
      <c r="B21" s="217"/>
      <c r="C21" s="18"/>
      <c r="D21" s="218"/>
      <c r="E21" s="218"/>
      <c r="F21" s="218"/>
      <c r="G21" s="218"/>
      <c r="H21" s="218"/>
      <c r="I21" s="218"/>
      <c r="J21" s="218"/>
      <c r="K21" s="218"/>
      <c r="L21" s="218"/>
      <c r="M21" s="218"/>
      <c r="N21" s="218"/>
      <c r="O21" s="218"/>
    </row>
    <row r="22" spans="2:15" s="219" customFormat="1" x14ac:dyDescent="0.2">
      <c r="B22" s="217"/>
      <c r="C22" s="18"/>
      <c r="D22" s="218"/>
      <c r="E22" s="218"/>
      <c r="F22" s="218"/>
      <c r="G22" s="218"/>
      <c r="H22" s="218"/>
      <c r="I22" s="218"/>
      <c r="J22" s="218"/>
      <c r="K22" s="218"/>
      <c r="L22" s="218"/>
      <c r="M22" s="218"/>
      <c r="N22" s="218"/>
      <c r="O22" s="218"/>
    </row>
    <row r="23" spans="2:15" x14ac:dyDescent="0.2">
      <c r="B23" s="237"/>
      <c r="C23" s="237"/>
      <c r="D23" s="238"/>
      <c r="E23" s="237"/>
      <c r="F23" s="237"/>
      <c r="G23" s="237"/>
      <c r="H23" s="237"/>
      <c r="I23" s="237"/>
      <c r="J23" s="237"/>
      <c r="K23" s="237"/>
      <c r="L23" s="237"/>
      <c r="M23" s="237"/>
      <c r="N23" s="237"/>
      <c r="O23" s="237"/>
    </row>
    <row r="24" spans="2:15" x14ac:dyDescent="0.2">
      <c r="B24" s="237"/>
      <c r="C24" s="237"/>
      <c r="D24" s="237"/>
      <c r="E24" s="237"/>
      <c r="F24" s="237"/>
      <c r="G24" s="237"/>
      <c r="H24" s="237"/>
      <c r="I24" s="237"/>
      <c r="J24" s="237"/>
      <c r="K24" s="237"/>
      <c r="L24" s="237"/>
      <c r="M24" s="237"/>
      <c r="N24" s="237"/>
      <c r="O24" s="237"/>
    </row>
    <row r="25" spans="2:15" ht="12.75" thickBot="1" x14ac:dyDescent="0.25"/>
    <row r="26" spans="2:15" ht="24.75" thickBot="1" x14ac:dyDescent="0.25">
      <c r="B26" s="239" t="s">
        <v>381</v>
      </c>
      <c r="C26" s="240" t="s">
        <v>382</v>
      </c>
      <c r="D26" s="240" t="s">
        <v>665</v>
      </c>
      <c r="E26" s="241" t="s">
        <v>666</v>
      </c>
    </row>
    <row r="27" spans="2:15" x14ac:dyDescent="0.2">
      <c r="B27" s="242" t="str">
        <f>Uurtarieven!B47</f>
        <v>Productieve uren
 Lngrp 1 - 4 dienstjr</v>
      </c>
      <c r="C27" s="243">
        <f>Uurtarieven!C47</f>
        <v>1</v>
      </c>
      <c r="D27" s="244">
        <f>D19</f>
        <v>0</v>
      </c>
      <c r="E27" s="245">
        <f>D20</f>
        <v>0</v>
      </c>
    </row>
    <row r="28" spans="2:15" x14ac:dyDescent="0.2">
      <c r="B28" s="246" t="str">
        <f>Uurtarieven!B48</f>
        <v>Meewerkend toezicht</v>
      </c>
      <c r="C28" s="247">
        <f>Uurtarieven!C48</f>
        <v>0</v>
      </c>
      <c r="D28" s="248">
        <f>F19</f>
        <v>0</v>
      </c>
      <c r="E28" s="249">
        <f>F20</f>
        <v>0</v>
      </c>
    </row>
    <row r="29" spans="2:15" x14ac:dyDescent="0.2">
      <c r="B29" s="246" t="str">
        <f>Uurtarieven!B49</f>
        <v>Specialist t.b.v. Vloeronderhoud</v>
      </c>
      <c r="C29" s="247">
        <f>Uurtarieven!C49</f>
        <v>0</v>
      </c>
      <c r="D29" s="248">
        <f>H19</f>
        <v>0</v>
      </c>
      <c r="E29" s="249">
        <f>H20</f>
        <v>0</v>
      </c>
    </row>
    <row r="30" spans="2:15" x14ac:dyDescent="0.2">
      <c r="B30" s="246" t="str">
        <f>Uurtarieven!B50</f>
        <v/>
      </c>
      <c r="C30" s="247">
        <f>Uurtarieven!C50</f>
        <v>0</v>
      </c>
      <c r="D30" s="248">
        <f>J19</f>
        <v>0</v>
      </c>
      <c r="E30" s="249">
        <f>J20</f>
        <v>0</v>
      </c>
    </row>
    <row r="31" spans="2:15" ht="12.75" thickBot="1" x14ac:dyDescent="0.25">
      <c r="B31" s="246" t="str">
        <f>Uurtarieven!B51</f>
        <v/>
      </c>
      <c r="C31" s="247">
        <f>Uurtarieven!C51</f>
        <v>0</v>
      </c>
      <c r="D31" s="248">
        <f>L19</f>
        <v>0</v>
      </c>
      <c r="E31" s="249">
        <f>L20</f>
        <v>0</v>
      </c>
    </row>
    <row r="32" spans="2:15" ht="12.75" thickBot="1" x14ac:dyDescent="0.25">
      <c r="B32" s="195" t="s">
        <v>385</v>
      </c>
      <c r="C32" s="250">
        <v>1</v>
      </c>
      <c r="D32" s="251">
        <f>SUMPRODUCT(C27:C31,D27:D31)</f>
        <v>0</v>
      </c>
      <c r="E32" s="251">
        <f>SUMPRODUCT(C27:C31,E27:E31)</f>
        <v>0</v>
      </c>
    </row>
  </sheetData>
  <sheetProtection algorithmName="SHA-512" hashValue="taBKjzrCiHh4eyTENkAPl8hR02vUZtZjwvOt/VHLAHu8KpDmW19vI1wMsUmTH0nOWiP5uiVwh1IwiX8yHQErTQ==" saltValue="qfHOswBxS8Dz22XPRgSLug==" spinCount="100000" sheet="1" objects="1" scenarios="1"/>
  <protectedRanges>
    <protectedRange sqref="E4 G4 O4 M4 I4 K4" name="Bereik1"/>
  </protectedRanges>
  <mergeCells count="48">
    <mergeCell ref="B2:C2"/>
    <mergeCell ref="D2:E2"/>
    <mergeCell ref="F2:G2"/>
    <mergeCell ref="H2:I2"/>
    <mergeCell ref="J2:K2"/>
    <mergeCell ref="N2:O2"/>
    <mergeCell ref="D3:E3"/>
    <mergeCell ref="H3:I3"/>
    <mergeCell ref="L3:M3"/>
    <mergeCell ref="N3:O3"/>
    <mergeCell ref="L2:M2"/>
    <mergeCell ref="D17:E17"/>
    <mergeCell ref="F17:G17"/>
    <mergeCell ref="H17:I17"/>
    <mergeCell ref="J17:K17"/>
    <mergeCell ref="L17:M17"/>
    <mergeCell ref="N17:O17"/>
    <mergeCell ref="D6:E6"/>
    <mergeCell ref="F6:G6"/>
    <mergeCell ref="H6:I6"/>
    <mergeCell ref="J6:K6"/>
    <mergeCell ref="L6:M6"/>
    <mergeCell ref="N6:O6"/>
    <mergeCell ref="D19:E19"/>
    <mergeCell ref="F19:G19"/>
    <mergeCell ref="H19:I19"/>
    <mergeCell ref="J19:K19"/>
    <mergeCell ref="L19:M19"/>
    <mergeCell ref="N19:O19"/>
    <mergeCell ref="D18:E18"/>
    <mergeCell ref="F18:G18"/>
    <mergeCell ref="H18:I18"/>
    <mergeCell ref="J18:K18"/>
    <mergeCell ref="L18:M18"/>
    <mergeCell ref="N20:O20"/>
    <mergeCell ref="B16:C16"/>
    <mergeCell ref="D16:E16"/>
    <mergeCell ref="F16:G16"/>
    <mergeCell ref="H16:I16"/>
    <mergeCell ref="J16:K16"/>
    <mergeCell ref="L16:M16"/>
    <mergeCell ref="N16:O16"/>
    <mergeCell ref="D20:E20"/>
    <mergeCell ref="F20:G20"/>
    <mergeCell ref="H20:I20"/>
    <mergeCell ref="J20:K20"/>
    <mergeCell ref="L20:M20"/>
    <mergeCell ref="N18:O18"/>
  </mergeCells>
  <printOptions horizontalCentered="1" verticalCentered="1"/>
  <pageMargins left="0.70866141732283472" right="0.70866141732283472" top="0.74803149606299213" bottom="0.74803149606299213" header="0.31496062992125984" footer="0.31496062992125984"/>
  <pageSetup paperSize="9" scale="67" fitToHeight="0" orientation="landscape" horizontalDpi="0" verticalDpi="0" r:id="rId1"/>
  <headerFooter>
    <oddHeader>&amp;L&amp;9&amp;K04-048Toeslagtarieven&amp;R&amp;G</oddHeader>
    <oddFooter>&amp;L&amp;9&amp;K04-049Offerteaanvraag EU Openbare aanbesteding Schoonmaakonderhoud&amp;C&amp;9&amp;K04-049 8 april 2022&amp;R&amp;9&amp;K04-049Blad &amp;P van &amp;N</oddFooter>
  </headerFooter>
  <ignoredErrors>
    <ignoredError sqref="C27:E31" unlockedFormula="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7EE46-3621-41A5-B02A-E0C6D60BC924}">
  <sheetPr codeName="Blad7">
    <tabColor theme="7" tint="-0.499984740745262"/>
    <pageSetUpPr fitToPage="1"/>
  </sheetPr>
  <dimension ref="A1:M445"/>
  <sheetViews>
    <sheetView showGridLines="0" showRowColHeaders="0" topLeftCell="A21" zoomScale="90" zoomScaleNormal="90" workbookViewId="0">
      <selection activeCell="O147" sqref="O147"/>
    </sheetView>
  </sheetViews>
  <sheetFormatPr defaultColWidth="9.140625" defaultRowHeight="12" x14ac:dyDescent="0.2"/>
  <cols>
    <col min="1" max="1" width="9.140625" style="172"/>
    <col min="2" max="2" width="10.85546875" style="9" customWidth="1"/>
    <col min="3" max="3" width="11.7109375" style="9" customWidth="1"/>
    <col min="4" max="9" width="10.7109375" style="9" customWidth="1"/>
    <col min="10" max="10" width="10.7109375" style="9" hidden="1" customWidth="1"/>
    <col min="11" max="11" width="10.7109375" style="9" customWidth="1"/>
    <col min="12" max="12" width="12.7109375" style="9" customWidth="1"/>
    <col min="13" max="13" width="9.42578125" style="172" bestFit="1" customWidth="1"/>
    <col min="14" max="16384" width="9.140625" style="9"/>
  </cols>
  <sheetData>
    <row r="1" spans="1:13" ht="12.75" thickBot="1" x14ac:dyDescent="0.25"/>
    <row r="2" spans="1:13" ht="96" customHeight="1" thickBot="1" x14ac:dyDescent="0.25">
      <c r="B2" s="173" t="s">
        <v>0</v>
      </c>
      <c r="C2" s="174" t="s">
        <v>2</v>
      </c>
      <c r="D2" s="175" t="str" cm="1">
        <f t="array" ref="D2:I2">TRANSPOSE(_xlfn._xlws.SORT(_xlfn._xlws.FILTER(_xlfn.UNIQUE(Inventarisatie[Categorie]),_xlfn.UNIQUE(Inventarisatie[Categorie])&lt;&gt;"")))</f>
        <v>Boxenruimte</v>
      </c>
      <c r="E2" s="176" t="str">
        <v>Kantoorruimte</v>
      </c>
      <c r="F2" s="176" t="str">
        <v>Representatief</v>
      </c>
      <c r="G2" s="176" t="str">
        <v>Restauratief</v>
      </c>
      <c r="H2" s="176" t="str">
        <v>Sanitaire ruimte</v>
      </c>
      <c r="I2" s="177" t="str">
        <v>Verkeersruimte</v>
      </c>
      <c r="J2" s="177"/>
      <c r="K2" s="178" t="s">
        <v>386</v>
      </c>
      <c r="L2" s="179" t="s">
        <v>387</v>
      </c>
    </row>
    <row r="3" spans="1:13" ht="15" customHeight="1" x14ac:dyDescent="0.2">
      <c r="A3" s="172">
        <f ca="1">Ruimtestaat!A3</f>
        <v>1</v>
      </c>
      <c r="B3" s="535" t="str">
        <f>Schoonmaaknormen!BB3</f>
        <v>ALK-ARS</v>
      </c>
      <c r="C3" s="180">
        <v>255</v>
      </c>
      <c r="D3" s="181">
        <f ca="1">IF(Ruimtestaat!D3&gt;0,Schoonmaaknormen!BT3*calculatietarief,"")</f>
        <v>0</v>
      </c>
      <c r="E3" s="182">
        <f ca="1">IF(Ruimtestaat!E3&gt;0,Schoonmaaknormen!BU3*calculatietarief,"")</f>
        <v>0</v>
      </c>
      <c r="F3" s="183">
        <f ca="1">IF(Ruimtestaat!F3&gt;0,Schoonmaaknormen!BV3*calculatietarief,"")</f>
        <v>0</v>
      </c>
      <c r="G3" s="182">
        <f ca="1">IF(Ruimtestaat!G3&gt;0,Schoonmaaknormen!BW3*calculatietarief,"")</f>
        <v>0</v>
      </c>
      <c r="H3" s="182">
        <f ca="1">IF(Ruimtestaat!H3&gt;0,Schoonmaaknormen!BX3*calculatietarief,"")</f>
        <v>0</v>
      </c>
      <c r="I3" s="184">
        <f ca="1">IF(Ruimtestaat!I3&gt;0,Schoonmaaknormen!BY3*calculatietarief,"")</f>
        <v>0</v>
      </c>
      <c r="J3" s="184" t="str">
        <f ca="1">IF(Ruimtestaat!J3&gt;0,Schoonmaaknormen!BZ3*calculatietarief,"")</f>
        <v/>
      </c>
      <c r="K3" s="582" t="str">
        <f>IF(Schoonmaaknormen!K3&gt;0,Schoonmaaknormen!CA3*calculatietarief,"")</f>
        <v/>
      </c>
      <c r="L3" s="536">
        <f ca="1">SUM(D3:K8)</f>
        <v>0</v>
      </c>
      <c r="M3" s="172" t="b">
        <f>IF(_xlfn.XLOOKUP(Schoonmaaknormen!BB3,Tabel2[Locatiecode],Tabel2[Type locatie],"",0)="vaccin",TRUE,FALSE)</f>
        <v>0</v>
      </c>
    </row>
    <row r="4" spans="1:13" ht="0.2" customHeight="1" x14ac:dyDescent="0.2">
      <c r="A4" s="172">
        <f ca="1">Ruimtestaat!A4</f>
        <v>0</v>
      </c>
      <c r="B4" s="579"/>
      <c r="C4" s="185">
        <v>204</v>
      </c>
      <c r="D4" s="186" t="str">
        <f ca="1">IF(Ruimtestaat!D4&gt;0,Schoonmaaknormen!BT4*calculatietarief,"")</f>
        <v/>
      </c>
      <c r="E4" s="187" t="str">
        <f ca="1">IF(Ruimtestaat!E4&gt;0,Schoonmaaknormen!BU4*calculatietarief,"")</f>
        <v/>
      </c>
      <c r="F4" s="188" t="str">
        <f ca="1">IF(Ruimtestaat!F4&gt;0,Schoonmaaknormen!BV4*calculatietarief,"")</f>
        <v/>
      </c>
      <c r="G4" s="187" t="str">
        <f ca="1">IF(Ruimtestaat!G4&gt;0,Schoonmaaknormen!BW4*calculatietarief,"")</f>
        <v/>
      </c>
      <c r="H4" s="187" t="str">
        <f ca="1">IF(Ruimtestaat!H4&gt;0,Schoonmaaknormen!BX4*calculatietarief,"")</f>
        <v/>
      </c>
      <c r="I4" s="189" t="str">
        <f ca="1">IF(Ruimtestaat!I4&gt;0,Schoonmaaknormen!BY4*calculatietarief,"")</f>
        <v/>
      </c>
      <c r="J4" s="189" t="str">
        <f ca="1">IF(Ruimtestaat!J4&gt;0,Schoonmaaknormen!BZ4*calculatietarief,"")</f>
        <v/>
      </c>
      <c r="K4" s="583"/>
      <c r="L4" s="584"/>
      <c r="M4" s="172" t="b">
        <f>IF(_xlfn.XLOOKUP(Schoonmaaknormen!BB4,Tabel2[Locatiecode],Tabel2[Type locatie],"",0)="vaccin",TRUE,FALSE)</f>
        <v>0</v>
      </c>
    </row>
    <row r="5" spans="1:13" ht="0.2" customHeight="1" x14ac:dyDescent="0.2">
      <c r="A5" s="172">
        <f ca="1">Ruimtestaat!A5</f>
        <v>0</v>
      </c>
      <c r="B5" s="527"/>
      <c r="C5" s="10">
        <v>156</v>
      </c>
      <c r="D5" s="190" t="str">
        <f ca="1">IF(Ruimtestaat!D5&gt;0,Schoonmaaknormen!BT5*calculatietarief,"")</f>
        <v/>
      </c>
      <c r="E5" s="191" t="str">
        <f ca="1">IF(Ruimtestaat!E5&gt;0,Schoonmaaknormen!BU5*calculatietarief,"")</f>
        <v/>
      </c>
      <c r="F5" s="192" t="str">
        <f ca="1">IF(Ruimtestaat!F5&gt;0,Schoonmaaknormen!BV5*calculatietarief,"")</f>
        <v/>
      </c>
      <c r="G5" s="191" t="str">
        <f ca="1">IF(Ruimtestaat!G5&gt;0,Schoonmaaknormen!BW5*calculatietarief,"")</f>
        <v/>
      </c>
      <c r="H5" s="191" t="str">
        <f ca="1">IF(Ruimtestaat!H5&gt;0,Schoonmaaknormen!BX5*calculatietarief,"")</f>
        <v/>
      </c>
      <c r="I5" s="193" t="str">
        <f ca="1">IF(Ruimtestaat!I5&gt;0,Schoonmaaknormen!BY5*calculatietarief,"")</f>
        <v/>
      </c>
      <c r="J5" s="193" t="str">
        <f ca="1">IF(Ruimtestaat!J5&gt;0,Schoonmaaknormen!BZ5*calculatietarief,"")</f>
        <v/>
      </c>
      <c r="K5" s="580"/>
      <c r="L5" s="528"/>
      <c r="M5" s="172" t="b">
        <f>IF(_xlfn.XLOOKUP(Schoonmaaknormen!BB5,Tabel2[Locatiecode],Tabel2[Type locatie],"",0)="vaccin",TRUE,FALSE)</f>
        <v>0</v>
      </c>
    </row>
    <row r="6" spans="1:13" ht="0.2" customHeight="1" x14ac:dyDescent="0.2">
      <c r="A6" s="172">
        <f ca="1">Ruimtestaat!A6</f>
        <v>0</v>
      </c>
      <c r="B6" s="527"/>
      <c r="C6" s="10">
        <v>104</v>
      </c>
      <c r="D6" s="194" t="str">
        <f ca="1">IF(Ruimtestaat!D6&gt;0,Schoonmaaknormen!BT6*calculatietarief,"")</f>
        <v/>
      </c>
      <c r="E6" s="192" t="str">
        <f ca="1">IF(Ruimtestaat!E6&gt;0,Schoonmaaknormen!BU6*calculatietarief,"")</f>
        <v/>
      </c>
      <c r="F6" s="192" t="str">
        <f ca="1">IF(Ruimtestaat!F6&gt;0,Schoonmaaknormen!BV6*calculatietarief,"")</f>
        <v/>
      </c>
      <c r="G6" s="192" t="str">
        <f ca="1">IF(Ruimtestaat!G6&gt;0,Schoonmaaknormen!BW6*calculatietarief,"")</f>
        <v/>
      </c>
      <c r="H6" s="192" t="str">
        <f ca="1">IF(Ruimtestaat!H6&gt;0,Schoonmaaknormen!BX6*calculatietarief,"")</f>
        <v/>
      </c>
      <c r="I6" s="193" t="str">
        <f ca="1">IF(Ruimtestaat!I6&gt;0,Schoonmaaknormen!BY6*calculatietarief,"")</f>
        <v/>
      </c>
      <c r="J6" s="193" t="str">
        <f ca="1">IF(Ruimtestaat!J6&gt;0,Schoonmaaknormen!BZ6*calculatietarief,"")</f>
        <v/>
      </c>
      <c r="K6" s="581" t="str">
        <f>IF(Ruimtestaat!K5&gt;0,Schoonmaaknormen!CA6*calculatietarief,"")</f>
        <v/>
      </c>
      <c r="L6" s="529"/>
      <c r="M6" s="172" t="b">
        <f>IF(_xlfn.XLOOKUP(Schoonmaaknormen!BB6,Tabel2[Locatiecode],Tabel2[Type locatie],"",0)="vaccin",TRUE,FALSE)</f>
        <v>0</v>
      </c>
    </row>
    <row r="7" spans="1:13" ht="0.2" customHeight="1" x14ac:dyDescent="0.2">
      <c r="A7" s="172">
        <f ca="1">Ruimtestaat!A7</f>
        <v>0</v>
      </c>
      <c r="B7" s="527"/>
      <c r="C7" s="10">
        <v>52</v>
      </c>
      <c r="D7" s="194" t="str">
        <f ca="1">IF(Ruimtestaat!D7&gt;0,Schoonmaaknormen!BT7*calculatietarief,"")</f>
        <v/>
      </c>
      <c r="E7" s="192" t="str">
        <f ca="1">IF(Ruimtestaat!E7&gt;0,Schoonmaaknormen!BU7*calculatietarief,"")</f>
        <v/>
      </c>
      <c r="F7" s="192" t="str">
        <f ca="1">IF(Ruimtestaat!F7&gt;0,Schoonmaaknormen!BV7*calculatietarief,"")</f>
        <v/>
      </c>
      <c r="G7" s="192" t="str">
        <f ca="1">IF(Ruimtestaat!G7&gt;0,Schoonmaaknormen!BW7*calculatietarief,"")</f>
        <v/>
      </c>
      <c r="H7" s="192" t="str">
        <f ca="1">IF(Ruimtestaat!H7&gt;0,Schoonmaaknormen!BX7*calculatietarief,"")</f>
        <v/>
      </c>
      <c r="I7" s="193" t="str">
        <f ca="1">IF(Ruimtestaat!I7&gt;0,Schoonmaaknormen!BY7*calculatietarief,"")</f>
        <v/>
      </c>
      <c r="J7" s="193" t="str">
        <f ca="1">IF(Ruimtestaat!J7&gt;0,Schoonmaaknormen!BZ7*calculatietarief,"")</f>
        <v/>
      </c>
      <c r="K7" s="581"/>
      <c r="L7" s="529"/>
      <c r="M7" s="172" t="b">
        <f>IF(_xlfn.XLOOKUP(Schoonmaaknormen!BB7,Tabel2[Locatiecode],Tabel2[Type locatie],"",0)="vaccin",TRUE,FALSE)</f>
        <v>0</v>
      </c>
    </row>
    <row r="8" spans="1:13" ht="0.2" customHeight="1" x14ac:dyDescent="0.2">
      <c r="A8" s="172">
        <f ca="1">Ruimtestaat!A8</f>
        <v>2</v>
      </c>
      <c r="B8" s="527"/>
      <c r="C8" s="10">
        <v>4</v>
      </c>
      <c r="D8" s="194" t="str">
        <f ca="1">IF(Ruimtestaat!D8&gt;0,Schoonmaaknormen!BT8*calculatietarief,"")</f>
        <v/>
      </c>
      <c r="E8" s="192" t="str">
        <f ca="1">IF(Ruimtestaat!E8&gt;0,Schoonmaaknormen!BU8*calculatietarief,"")</f>
        <v/>
      </c>
      <c r="F8" s="192" t="str">
        <f ca="1">IF(Ruimtestaat!F8&gt;0,Schoonmaaknormen!BV8*calculatietarief,"")</f>
        <v/>
      </c>
      <c r="G8" s="192" t="str">
        <f ca="1">IF(Ruimtestaat!G8&gt;0,Schoonmaaknormen!BW8*calculatietarief,"")</f>
        <v/>
      </c>
      <c r="H8" s="192" t="str">
        <f ca="1">IF(Ruimtestaat!H8&gt;0,Schoonmaaknormen!BX8*calculatietarief,"")</f>
        <v/>
      </c>
      <c r="I8" s="193" t="str">
        <f ca="1">IF(Ruimtestaat!I8&gt;0,Schoonmaaknormen!BY8*calculatietarief,"")</f>
        <v/>
      </c>
      <c r="J8" s="193" t="str">
        <f ca="1">IF(Ruimtestaat!J8&gt;0,Schoonmaaknormen!BZ8*calculatietarief,"")</f>
        <v/>
      </c>
      <c r="K8" s="581" t="str">
        <f>IF(Ruimtestaat!K8&gt;0,Schoonmaaknormen!CA8*calculatietarief,"")</f>
        <v/>
      </c>
      <c r="L8" s="529"/>
      <c r="M8" s="172" t="b">
        <f>IF(_xlfn.XLOOKUP(Schoonmaaknormen!BB8,Tabel2[Locatiecode],Tabel2[Type locatie],"",0)="vaccin",TRUE,FALSE)</f>
        <v>0</v>
      </c>
    </row>
    <row r="9" spans="1:13" ht="0.2" customHeight="1" x14ac:dyDescent="0.2">
      <c r="A9" s="172">
        <f ca="1">Ruimtestaat!A9</f>
        <v>2</v>
      </c>
      <c r="B9" s="527" t="str">
        <f>Schoonmaaknormen!BB9</f>
        <v>ALK-DIK</v>
      </c>
      <c r="C9" s="10">
        <v>255</v>
      </c>
      <c r="D9" s="190" t="str">
        <f ca="1">IF(Ruimtestaat!D9&gt;0,Schoonmaaknormen!BT9*calculatietarief,"")</f>
        <v/>
      </c>
      <c r="E9" s="191" t="str">
        <f ca="1">IF(Ruimtestaat!E9&gt;0,Schoonmaaknormen!BU9*calculatietarief,"")</f>
        <v/>
      </c>
      <c r="F9" s="192" t="str">
        <f ca="1">IF(Ruimtestaat!F9&gt;0,Schoonmaaknormen!BV9*calculatietarief,"")</f>
        <v/>
      </c>
      <c r="G9" s="191" t="str">
        <f ca="1">IF(Ruimtestaat!G9&gt;0,Schoonmaaknormen!BW9*calculatietarief,"")</f>
        <v/>
      </c>
      <c r="H9" s="191" t="str">
        <f ca="1">IF(Ruimtestaat!H9&gt;0,Schoonmaaknormen!BX9*calculatietarief,"")</f>
        <v/>
      </c>
      <c r="I9" s="193" t="str">
        <f ca="1">IF(Ruimtestaat!I9&gt;0,Schoonmaaknormen!BY9*calculatietarief,"")</f>
        <v/>
      </c>
      <c r="J9" s="193" t="str">
        <f ca="1">IF(Ruimtestaat!J9&gt;0,Schoonmaaknormen!BZ9*calculatietarief,"")</f>
        <v/>
      </c>
      <c r="K9" s="580" t="str">
        <f>IF(Schoonmaaknormen!K9&gt;0,Schoonmaaknormen!CA9*calculatietarief,"")</f>
        <v/>
      </c>
      <c r="L9" s="528">
        <f ca="1">SUM(D9:K14)</f>
        <v>0</v>
      </c>
      <c r="M9" s="172" t="b">
        <f>IF(_xlfn.XLOOKUP(Schoonmaaknormen!BB9,Tabel2[Locatiecode],Tabel2[Type locatie],"",0)="vaccin",TRUE,FALSE)</f>
        <v>0</v>
      </c>
    </row>
    <row r="10" spans="1:13" ht="15" customHeight="1" x14ac:dyDescent="0.2">
      <c r="A10" s="172">
        <f ca="1">Ruimtestaat!A10</f>
        <v>1</v>
      </c>
      <c r="B10" s="527"/>
      <c r="C10" s="10">
        <v>204</v>
      </c>
      <c r="D10" s="190" t="str">
        <f ca="1">IF(Ruimtestaat!D10&gt;0,Schoonmaaknormen!BT10*calculatietarief,"")</f>
        <v/>
      </c>
      <c r="E10" s="191">
        <f ca="1">IF(Ruimtestaat!E10&gt;0,Schoonmaaknormen!BU10*calculatietarief,"")</f>
        <v>0</v>
      </c>
      <c r="F10" s="192">
        <f ca="1">IF(Ruimtestaat!F10&gt;0,Schoonmaaknormen!BV10*calculatietarief,"")</f>
        <v>0</v>
      </c>
      <c r="G10" s="191">
        <f ca="1">IF(Ruimtestaat!G10&gt;0,Schoonmaaknormen!BW10*calculatietarief,"")</f>
        <v>0</v>
      </c>
      <c r="H10" s="191">
        <f ca="1">IF(Ruimtestaat!H10&gt;0,Schoonmaaknormen!BX10*calculatietarief,"")</f>
        <v>0</v>
      </c>
      <c r="I10" s="193" t="str">
        <f ca="1">IF(Ruimtestaat!I10&gt;0,Schoonmaaknormen!BY10*calculatietarief,"")</f>
        <v/>
      </c>
      <c r="J10" s="193" t="str">
        <f ca="1">IF(Ruimtestaat!J10&gt;0,Schoonmaaknormen!BZ10*calculatietarief,"")</f>
        <v/>
      </c>
      <c r="K10" s="580"/>
      <c r="L10" s="528"/>
      <c r="M10" s="172" t="b">
        <f>IF(_xlfn.XLOOKUP(Schoonmaaknormen!BB10,Tabel2[Locatiecode],Tabel2[Type locatie],"",0)="vaccin",TRUE,FALSE)</f>
        <v>0</v>
      </c>
    </row>
    <row r="11" spans="1:13" ht="0.2" customHeight="1" x14ac:dyDescent="0.2">
      <c r="A11" s="172">
        <f ca="1">Ruimtestaat!A11</f>
        <v>2</v>
      </c>
      <c r="B11" s="527"/>
      <c r="C11" s="10">
        <v>156</v>
      </c>
      <c r="D11" s="190" t="str">
        <f ca="1">IF(Ruimtestaat!D11&gt;0,Schoonmaaknormen!BT11*calculatietarief,"")</f>
        <v/>
      </c>
      <c r="E11" s="191" t="str">
        <f ca="1">IF(Ruimtestaat!E11&gt;0,Schoonmaaknormen!BU11*calculatietarief,"")</f>
        <v/>
      </c>
      <c r="F11" s="192" t="str">
        <f ca="1">IF(Ruimtestaat!F11&gt;0,Schoonmaaknormen!BV11*calculatietarief,"")</f>
        <v/>
      </c>
      <c r="G11" s="191" t="str">
        <f ca="1">IF(Ruimtestaat!G11&gt;0,Schoonmaaknormen!BW11*calculatietarief,"")</f>
        <v/>
      </c>
      <c r="H11" s="191" t="str">
        <f ca="1">IF(Ruimtestaat!H11&gt;0,Schoonmaaknormen!BX11*calculatietarief,"")</f>
        <v/>
      </c>
      <c r="I11" s="193" t="str">
        <f ca="1">IF(Ruimtestaat!I11&gt;0,Schoonmaaknormen!BY11*calculatietarief,"")</f>
        <v/>
      </c>
      <c r="J11" s="193" t="str">
        <f ca="1">IF(Ruimtestaat!J11&gt;0,Schoonmaaknormen!BZ11*calculatietarief,"")</f>
        <v/>
      </c>
      <c r="K11" s="580"/>
      <c r="L11" s="528"/>
      <c r="M11" s="172" t="b">
        <f>IF(_xlfn.XLOOKUP(Schoonmaaknormen!BB11,Tabel2[Locatiecode],Tabel2[Type locatie],"",0)="vaccin",TRUE,FALSE)</f>
        <v>0</v>
      </c>
    </row>
    <row r="12" spans="1:13" ht="0.2" customHeight="1" x14ac:dyDescent="0.2">
      <c r="A12" s="172">
        <f ca="1">Ruimtestaat!A12</f>
        <v>2</v>
      </c>
      <c r="B12" s="527"/>
      <c r="C12" s="10">
        <v>104</v>
      </c>
      <c r="D12" s="194" t="str">
        <f ca="1">IF(Ruimtestaat!D12&gt;0,Schoonmaaknormen!BT12*calculatietarief,"")</f>
        <v/>
      </c>
      <c r="E12" s="192" t="str">
        <f ca="1">IF(Ruimtestaat!E12&gt;0,Schoonmaaknormen!BU12*calculatietarief,"")</f>
        <v/>
      </c>
      <c r="F12" s="192" t="str">
        <f ca="1">IF(Ruimtestaat!F12&gt;0,Schoonmaaknormen!BV12*calculatietarief,"")</f>
        <v/>
      </c>
      <c r="G12" s="192" t="str">
        <f ca="1">IF(Ruimtestaat!G12&gt;0,Schoonmaaknormen!BW12*calculatietarief,"")</f>
        <v/>
      </c>
      <c r="H12" s="192" t="str">
        <f ca="1">IF(Ruimtestaat!H12&gt;0,Schoonmaaknormen!BX12*calculatietarief,"")</f>
        <v/>
      </c>
      <c r="I12" s="193" t="str">
        <f ca="1">IF(Ruimtestaat!I12&gt;0,Schoonmaaknormen!BY12*calculatietarief,"")</f>
        <v/>
      </c>
      <c r="J12" s="193" t="str">
        <f ca="1">IF(Ruimtestaat!J12&gt;0,Schoonmaaknormen!BZ12*calculatietarief,"")</f>
        <v/>
      </c>
      <c r="K12" s="581" t="str">
        <f>IF(Ruimtestaat!K11&gt;0,Schoonmaaknormen!CA12*calculatietarief,"")</f>
        <v/>
      </c>
      <c r="L12" s="529"/>
      <c r="M12" s="172" t="b">
        <f>IF(_xlfn.XLOOKUP(Schoonmaaknormen!BB12,Tabel2[Locatiecode],Tabel2[Type locatie],"",0)="vaccin",TRUE,FALSE)</f>
        <v>0</v>
      </c>
    </row>
    <row r="13" spans="1:13" ht="0.2" customHeight="1" x14ac:dyDescent="0.2">
      <c r="A13" s="172">
        <f ca="1">Ruimtestaat!A13</f>
        <v>2</v>
      </c>
      <c r="B13" s="527"/>
      <c r="C13" s="10">
        <v>52</v>
      </c>
      <c r="D13" s="194" t="str">
        <f ca="1">IF(Ruimtestaat!D13&gt;0,Schoonmaaknormen!BT13*calculatietarief,"")</f>
        <v/>
      </c>
      <c r="E13" s="192" t="str">
        <f ca="1">IF(Ruimtestaat!E13&gt;0,Schoonmaaknormen!BU13*calculatietarief,"")</f>
        <v/>
      </c>
      <c r="F13" s="192" t="str">
        <f ca="1">IF(Ruimtestaat!F13&gt;0,Schoonmaaknormen!BV13*calculatietarief,"")</f>
        <v/>
      </c>
      <c r="G13" s="192" t="str">
        <f ca="1">IF(Ruimtestaat!G13&gt;0,Schoonmaaknormen!BW13*calculatietarief,"")</f>
        <v/>
      </c>
      <c r="H13" s="192" t="str">
        <f ca="1">IF(Ruimtestaat!H13&gt;0,Schoonmaaknormen!BX13*calculatietarief,"")</f>
        <v/>
      </c>
      <c r="I13" s="193" t="str">
        <f ca="1">IF(Ruimtestaat!I13&gt;0,Schoonmaaknormen!BY13*calculatietarief,"")</f>
        <v/>
      </c>
      <c r="J13" s="193" t="str">
        <f ca="1">IF(Ruimtestaat!J13&gt;0,Schoonmaaknormen!BZ13*calculatietarief,"")</f>
        <v/>
      </c>
      <c r="K13" s="581"/>
      <c r="L13" s="529"/>
      <c r="M13" s="172" t="b">
        <f>IF(_xlfn.XLOOKUP(Schoonmaaknormen!BB13,Tabel2[Locatiecode],Tabel2[Type locatie],"",0)="vaccin",TRUE,FALSE)</f>
        <v>0</v>
      </c>
    </row>
    <row r="14" spans="1:13" ht="0.2" customHeight="1" x14ac:dyDescent="0.2">
      <c r="A14" s="172">
        <f ca="1">Ruimtestaat!A14</f>
        <v>2</v>
      </c>
      <c r="B14" s="527"/>
      <c r="C14" s="10">
        <v>4</v>
      </c>
      <c r="D14" s="194" t="str">
        <f ca="1">IF(Ruimtestaat!D14&gt;0,Schoonmaaknormen!BT14*calculatietarief,"")</f>
        <v/>
      </c>
      <c r="E14" s="192" t="str">
        <f ca="1">IF(Ruimtestaat!E14&gt;0,Schoonmaaknormen!BU14*calculatietarief,"")</f>
        <v/>
      </c>
      <c r="F14" s="192" t="str">
        <f ca="1">IF(Ruimtestaat!F14&gt;0,Schoonmaaknormen!BV14*calculatietarief,"")</f>
        <v/>
      </c>
      <c r="G14" s="192" t="str">
        <f ca="1">IF(Ruimtestaat!G14&gt;0,Schoonmaaknormen!BW14*calculatietarief,"")</f>
        <v/>
      </c>
      <c r="H14" s="192" t="str">
        <f ca="1">IF(Ruimtestaat!H14&gt;0,Schoonmaaknormen!BX14*calculatietarief,"")</f>
        <v/>
      </c>
      <c r="I14" s="193" t="str">
        <f ca="1">IF(Ruimtestaat!I14&gt;0,Schoonmaaknormen!BY14*calculatietarief,"")</f>
        <v/>
      </c>
      <c r="J14" s="193" t="str">
        <f ca="1">IF(Ruimtestaat!J14&gt;0,Schoonmaaknormen!BZ14*calculatietarief,"")</f>
        <v/>
      </c>
      <c r="K14" s="581" t="str">
        <f>IF(Ruimtestaat!K14&gt;0,Schoonmaaknormen!CA14*calculatietarief,"")</f>
        <v/>
      </c>
      <c r="L14" s="529"/>
      <c r="M14" s="172" t="b">
        <f>IF(_xlfn.XLOOKUP(Schoonmaaknormen!BB14,Tabel2[Locatiecode],Tabel2[Type locatie],"",0)="vaccin",TRUE,FALSE)</f>
        <v>0</v>
      </c>
    </row>
    <row r="15" spans="1:13" ht="15" customHeight="1" x14ac:dyDescent="0.2">
      <c r="A15" s="172">
        <f ca="1">Ruimtestaat!A15</f>
        <v>1</v>
      </c>
      <c r="B15" s="527" t="str">
        <f>Schoonmaaknormen!BB15</f>
        <v>ALK-H18</v>
      </c>
      <c r="C15" s="10">
        <v>255</v>
      </c>
      <c r="D15" s="190" t="str">
        <f ca="1">IF(Ruimtestaat!D15&gt;0,Schoonmaaknormen!BT15*calculatietarief,"")</f>
        <v/>
      </c>
      <c r="E15" s="191">
        <f ca="1">IF(Ruimtestaat!E15&gt;0,Schoonmaaknormen!BU15*calculatietarief,"")</f>
        <v>0</v>
      </c>
      <c r="F15" s="192">
        <f ca="1">IF(Ruimtestaat!F15&gt;0,Schoonmaaknormen!BV15*calculatietarief,"")</f>
        <v>0</v>
      </c>
      <c r="G15" s="191">
        <f ca="1">IF(Ruimtestaat!G15&gt;0,Schoonmaaknormen!BW15*calculatietarief,"")</f>
        <v>0</v>
      </c>
      <c r="H15" s="191">
        <f ca="1">IF(Ruimtestaat!H15&gt;0,Schoonmaaknormen!BX15*calculatietarief,"")</f>
        <v>0</v>
      </c>
      <c r="I15" s="193">
        <f ca="1">IF(Ruimtestaat!I15&gt;0,Schoonmaaknormen!BY15*calculatietarief,"")</f>
        <v>0</v>
      </c>
      <c r="J15" s="193" t="str">
        <f ca="1">IF(Ruimtestaat!J15&gt;0,Schoonmaaknormen!BZ15*calculatietarief,"")</f>
        <v/>
      </c>
      <c r="K15" s="580" t="str">
        <f>IF(Schoonmaaknormen!K15&gt;0,Schoonmaaknormen!CA15*calculatietarief,"")</f>
        <v/>
      </c>
      <c r="L15" s="528">
        <f ca="1">SUM(D15:K20)</f>
        <v>0</v>
      </c>
      <c r="M15" s="172" t="b">
        <f>IF(_xlfn.XLOOKUP(Schoonmaaknormen!BB15,Tabel2[Locatiecode],Tabel2[Type locatie],"",0)="vaccin",TRUE,FALSE)</f>
        <v>0</v>
      </c>
    </row>
    <row r="16" spans="1:13" ht="0.2" customHeight="1" x14ac:dyDescent="0.2">
      <c r="A16" s="172">
        <f ca="1">Ruimtestaat!A16</f>
        <v>2</v>
      </c>
      <c r="B16" s="527"/>
      <c r="C16" s="10">
        <v>204</v>
      </c>
      <c r="D16" s="190" t="str">
        <f ca="1">IF(Ruimtestaat!D16&gt;0,Schoonmaaknormen!BT16*calculatietarief,"")</f>
        <v/>
      </c>
      <c r="E16" s="191" t="str">
        <f ca="1">IF(Ruimtestaat!E16&gt;0,Schoonmaaknormen!BU16*calculatietarief,"")</f>
        <v/>
      </c>
      <c r="F16" s="192" t="str">
        <f ca="1">IF(Ruimtestaat!F16&gt;0,Schoonmaaknormen!BV16*calculatietarief,"")</f>
        <v/>
      </c>
      <c r="G16" s="191" t="str">
        <f ca="1">IF(Ruimtestaat!G16&gt;0,Schoonmaaknormen!BW16*calculatietarief,"")</f>
        <v/>
      </c>
      <c r="H16" s="191" t="str">
        <f ca="1">IF(Ruimtestaat!H16&gt;0,Schoonmaaknormen!BX16*calculatietarief,"")</f>
        <v/>
      </c>
      <c r="I16" s="193" t="str">
        <f ca="1">IF(Ruimtestaat!I16&gt;0,Schoonmaaknormen!BY16*calculatietarief,"")</f>
        <v/>
      </c>
      <c r="J16" s="193" t="str">
        <f ca="1">IF(Ruimtestaat!J16&gt;0,Schoonmaaknormen!BZ16*calculatietarief,"")</f>
        <v/>
      </c>
      <c r="K16" s="580"/>
      <c r="L16" s="528"/>
      <c r="M16" s="172" t="b">
        <f>IF(_xlfn.XLOOKUP(Schoonmaaknormen!BB16,Tabel2[Locatiecode],Tabel2[Type locatie],"",0)="vaccin",TRUE,FALSE)</f>
        <v>0</v>
      </c>
    </row>
    <row r="17" spans="1:13" ht="0.2" customHeight="1" x14ac:dyDescent="0.2">
      <c r="A17" s="172">
        <f ca="1">Ruimtestaat!A17</f>
        <v>2</v>
      </c>
      <c r="B17" s="527"/>
      <c r="C17" s="10">
        <v>156</v>
      </c>
      <c r="D17" s="190" t="str">
        <f ca="1">IF(Ruimtestaat!D17&gt;0,Schoonmaaknormen!BT17*calculatietarief,"")</f>
        <v/>
      </c>
      <c r="E17" s="191" t="str">
        <f ca="1">IF(Ruimtestaat!E17&gt;0,Schoonmaaknormen!BU17*calculatietarief,"")</f>
        <v/>
      </c>
      <c r="F17" s="192" t="str">
        <f ca="1">IF(Ruimtestaat!F17&gt;0,Schoonmaaknormen!BV17*calculatietarief,"")</f>
        <v/>
      </c>
      <c r="G17" s="191" t="str">
        <f ca="1">IF(Ruimtestaat!G17&gt;0,Schoonmaaknormen!BW17*calculatietarief,"")</f>
        <v/>
      </c>
      <c r="H17" s="191" t="str">
        <f ca="1">IF(Ruimtestaat!H17&gt;0,Schoonmaaknormen!BX17*calculatietarief,"")</f>
        <v/>
      </c>
      <c r="I17" s="193" t="str">
        <f ca="1">IF(Ruimtestaat!I17&gt;0,Schoonmaaknormen!BY17*calculatietarief,"")</f>
        <v/>
      </c>
      <c r="J17" s="193" t="str">
        <f ca="1">IF(Ruimtestaat!J17&gt;0,Schoonmaaknormen!BZ17*calculatietarief,"")</f>
        <v/>
      </c>
      <c r="K17" s="580"/>
      <c r="L17" s="528"/>
      <c r="M17" s="172" t="b">
        <f>IF(_xlfn.XLOOKUP(Schoonmaaknormen!BB17,Tabel2[Locatiecode],Tabel2[Type locatie],"",0)="vaccin",TRUE,FALSE)</f>
        <v>0</v>
      </c>
    </row>
    <row r="18" spans="1:13" ht="0.2" customHeight="1" x14ac:dyDescent="0.2">
      <c r="A18" s="172">
        <f ca="1">Ruimtestaat!A18</f>
        <v>2</v>
      </c>
      <c r="B18" s="527"/>
      <c r="C18" s="10">
        <v>104</v>
      </c>
      <c r="D18" s="194" t="str">
        <f ca="1">IF(Ruimtestaat!D18&gt;0,Schoonmaaknormen!BT18*calculatietarief,"")</f>
        <v/>
      </c>
      <c r="E18" s="192" t="str">
        <f ca="1">IF(Ruimtestaat!E18&gt;0,Schoonmaaknormen!BU18*calculatietarief,"")</f>
        <v/>
      </c>
      <c r="F18" s="192" t="str">
        <f ca="1">IF(Ruimtestaat!F18&gt;0,Schoonmaaknormen!BV18*calculatietarief,"")</f>
        <v/>
      </c>
      <c r="G18" s="192" t="str">
        <f ca="1">IF(Ruimtestaat!G18&gt;0,Schoonmaaknormen!BW18*calculatietarief,"")</f>
        <v/>
      </c>
      <c r="H18" s="192" t="str">
        <f ca="1">IF(Ruimtestaat!H18&gt;0,Schoonmaaknormen!BX18*calculatietarief,"")</f>
        <v/>
      </c>
      <c r="I18" s="193" t="str">
        <f ca="1">IF(Ruimtestaat!I18&gt;0,Schoonmaaknormen!BY18*calculatietarief,"")</f>
        <v/>
      </c>
      <c r="J18" s="193" t="str">
        <f ca="1">IF(Ruimtestaat!J18&gt;0,Schoonmaaknormen!BZ18*calculatietarief,"")</f>
        <v/>
      </c>
      <c r="K18" s="581" t="str">
        <f>IF(Ruimtestaat!K17&gt;0,Schoonmaaknormen!CA18*calculatietarief,"")</f>
        <v/>
      </c>
      <c r="L18" s="529"/>
      <c r="M18" s="172" t="b">
        <f>IF(_xlfn.XLOOKUP(Schoonmaaknormen!BB18,Tabel2[Locatiecode],Tabel2[Type locatie],"",0)="vaccin",TRUE,FALSE)</f>
        <v>0</v>
      </c>
    </row>
    <row r="19" spans="1:13" ht="0.2" customHeight="1" x14ac:dyDescent="0.2">
      <c r="A19" s="172">
        <f ca="1">Ruimtestaat!A19</f>
        <v>2</v>
      </c>
      <c r="B19" s="527"/>
      <c r="C19" s="10">
        <v>52</v>
      </c>
      <c r="D19" s="194" t="str">
        <f ca="1">IF(Ruimtestaat!D19&gt;0,Schoonmaaknormen!BT19*calculatietarief,"")</f>
        <v/>
      </c>
      <c r="E19" s="192" t="str">
        <f ca="1">IF(Ruimtestaat!E19&gt;0,Schoonmaaknormen!BU19*calculatietarief,"")</f>
        <v/>
      </c>
      <c r="F19" s="192" t="str">
        <f ca="1">IF(Ruimtestaat!F19&gt;0,Schoonmaaknormen!BV19*calculatietarief,"")</f>
        <v/>
      </c>
      <c r="G19" s="192" t="str">
        <f ca="1">IF(Ruimtestaat!G19&gt;0,Schoonmaaknormen!BW19*calculatietarief,"")</f>
        <v/>
      </c>
      <c r="H19" s="192" t="str">
        <f ca="1">IF(Ruimtestaat!H19&gt;0,Schoonmaaknormen!BX19*calculatietarief,"")</f>
        <v/>
      </c>
      <c r="I19" s="193" t="str">
        <f ca="1">IF(Ruimtestaat!I19&gt;0,Schoonmaaknormen!BY19*calculatietarief,"")</f>
        <v/>
      </c>
      <c r="J19" s="193" t="str">
        <f ca="1">IF(Ruimtestaat!J19&gt;0,Schoonmaaknormen!BZ19*calculatietarief,"")</f>
        <v/>
      </c>
      <c r="K19" s="581"/>
      <c r="L19" s="529"/>
      <c r="M19" s="172" t="b">
        <f>IF(_xlfn.XLOOKUP(Schoonmaaknormen!BB19,Tabel2[Locatiecode],Tabel2[Type locatie],"",0)="vaccin",TRUE,FALSE)</f>
        <v>0</v>
      </c>
    </row>
    <row r="20" spans="1:13" ht="0.2" customHeight="1" x14ac:dyDescent="0.2">
      <c r="A20" s="172">
        <f ca="1">Ruimtestaat!A20</f>
        <v>2</v>
      </c>
      <c r="B20" s="527"/>
      <c r="C20" s="10">
        <v>4</v>
      </c>
      <c r="D20" s="194" t="str">
        <f ca="1">IF(Ruimtestaat!D20&gt;0,Schoonmaaknormen!BT20*calculatietarief,"")</f>
        <v/>
      </c>
      <c r="E20" s="192" t="str">
        <f ca="1">IF(Ruimtestaat!E20&gt;0,Schoonmaaknormen!BU20*calculatietarief,"")</f>
        <v/>
      </c>
      <c r="F20" s="192" t="str">
        <f ca="1">IF(Ruimtestaat!F20&gt;0,Schoonmaaknormen!BV20*calculatietarief,"")</f>
        <v/>
      </c>
      <c r="G20" s="192" t="str">
        <f ca="1">IF(Ruimtestaat!G20&gt;0,Schoonmaaknormen!BW20*calculatietarief,"")</f>
        <v/>
      </c>
      <c r="H20" s="192" t="str">
        <f ca="1">IF(Ruimtestaat!H20&gt;0,Schoonmaaknormen!BX20*calculatietarief,"")</f>
        <v/>
      </c>
      <c r="I20" s="193" t="str">
        <f ca="1">IF(Ruimtestaat!I20&gt;0,Schoonmaaknormen!BY20*calculatietarief,"")</f>
        <v/>
      </c>
      <c r="J20" s="193" t="str">
        <f ca="1">IF(Ruimtestaat!J20&gt;0,Schoonmaaknormen!BZ20*calculatietarief,"")</f>
        <v/>
      </c>
      <c r="K20" s="581" t="str">
        <f>IF(Ruimtestaat!K20&gt;0,Schoonmaaknormen!CA20*calculatietarief,"")</f>
        <v/>
      </c>
      <c r="L20" s="529"/>
      <c r="M20" s="172" t="b">
        <f>IF(_xlfn.XLOOKUP(Schoonmaaknormen!BB20,Tabel2[Locatiecode],Tabel2[Type locatie],"",0)="vaccin",TRUE,FALSE)</f>
        <v>0</v>
      </c>
    </row>
    <row r="21" spans="1:13" ht="15" customHeight="1" x14ac:dyDescent="0.2">
      <c r="A21" s="172">
        <f ca="1">Ruimtestaat!A21</f>
        <v>1</v>
      </c>
      <c r="B21" s="527" t="str">
        <f>Schoonmaaknormen!BB21</f>
        <v>ALK-HAW</v>
      </c>
      <c r="C21" s="10">
        <v>255</v>
      </c>
      <c r="D21" s="190" t="str">
        <f ca="1">IF(Ruimtestaat!D21&gt;0,Schoonmaaknormen!BT21*calculatietarief,"")</f>
        <v/>
      </c>
      <c r="E21" s="191">
        <f ca="1">IF(Ruimtestaat!E21&gt;0,Schoonmaaknormen!BU21*calculatietarief,"")</f>
        <v>0</v>
      </c>
      <c r="F21" s="192">
        <f ca="1">IF(Ruimtestaat!F21&gt;0,Schoonmaaknormen!BV21*calculatietarief,"")</f>
        <v>0</v>
      </c>
      <c r="G21" s="191">
        <f ca="1">IF(Ruimtestaat!G21&gt;0,Schoonmaaknormen!BW21*calculatietarief,"")</f>
        <v>0</v>
      </c>
      <c r="H21" s="191">
        <f ca="1">IF(Ruimtestaat!H21&gt;0,Schoonmaaknormen!BX21*calculatietarief,"")</f>
        <v>0</v>
      </c>
      <c r="I21" s="193">
        <f ca="1">IF(Ruimtestaat!I21&gt;0,Schoonmaaknormen!BY21*calculatietarief,"")</f>
        <v>0</v>
      </c>
      <c r="J21" s="193" t="str">
        <f ca="1">IF(Ruimtestaat!J21&gt;0,Schoonmaaknormen!BZ21*calculatietarief,"")</f>
        <v/>
      </c>
      <c r="K21" s="580" t="str">
        <f>IF(Schoonmaaknormen!K21&gt;0,Schoonmaaknormen!CA21*calculatietarief,"")</f>
        <v/>
      </c>
      <c r="L21" s="528">
        <f ca="1">SUM(D21:K26)</f>
        <v>0</v>
      </c>
      <c r="M21" s="172" t="b">
        <f>IF(_xlfn.XLOOKUP(Schoonmaaknormen!BB21,Tabel2[Locatiecode],Tabel2[Type locatie],"",0)="vaccin",TRUE,FALSE)</f>
        <v>0</v>
      </c>
    </row>
    <row r="22" spans="1:13" ht="0.2" customHeight="1" x14ac:dyDescent="0.2">
      <c r="A22" s="172">
        <f ca="1">Ruimtestaat!A22</f>
        <v>2</v>
      </c>
      <c r="B22" s="527"/>
      <c r="C22" s="10">
        <v>204</v>
      </c>
      <c r="D22" s="190" t="str">
        <f ca="1">IF(Ruimtestaat!D22&gt;0,Schoonmaaknormen!BT22*calculatietarief,"")</f>
        <v/>
      </c>
      <c r="E22" s="191" t="str">
        <f ca="1">IF(Ruimtestaat!E22&gt;0,Schoonmaaknormen!BU22*calculatietarief,"")</f>
        <v/>
      </c>
      <c r="F22" s="192" t="str">
        <f ca="1">IF(Ruimtestaat!F22&gt;0,Schoonmaaknormen!BV22*calculatietarief,"")</f>
        <v/>
      </c>
      <c r="G22" s="191" t="str">
        <f ca="1">IF(Ruimtestaat!G22&gt;0,Schoonmaaknormen!BW22*calculatietarief,"")</f>
        <v/>
      </c>
      <c r="H22" s="191" t="str">
        <f ca="1">IF(Ruimtestaat!H22&gt;0,Schoonmaaknormen!BX22*calculatietarief,"")</f>
        <v/>
      </c>
      <c r="I22" s="193" t="str">
        <f ca="1">IF(Ruimtestaat!I22&gt;0,Schoonmaaknormen!BY22*calculatietarief,"")</f>
        <v/>
      </c>
      <c r="J22" s="193" t="str">
        <f ca="1">IF(Ruimtestaat!J22&gt;0,Schoonmaaknormen!BZ22*calculatietarief,"")</f>
        <v/>
      </c>
      <c r="K22" s="580"/>
      <c r="L22" s="528"/>
      <c r="M22" s="172" t="b">
        <f>IF(_xlfn.XLOOKUP(Schoonmaaknormen!BB22,Tabel2[Locatiecode],Tabel2[Type locatie],"",0)="vaccin",TRUE,FALSE)</f>
        <v>0</v>
      </c>
    </row>
    <row r="23" spans="1:13" ht="0.2" customHeight="1" x14ac:dyDescent="0.2">
      <c r="A23" s="172">
        <f ca="1">Ruimtestaat!A23</f>
        <v>2</v>
      </c>
      <c r="B23" s="527"/>
      <c r="C23" s="10">
        <v>156</v>
      </c>
      <c r="D23" s="190" t="str">
        <f ca="1">IF(Ruimtestaat!D23&gt;0,Schoonmaaknormen!BT23*calculatietarief,"")</f>
        <v/>
      </c>
      <c r="E23" s="191" t="str">
        <f ca="1">IF(Ruimtestaat!E23&gt;0,Schoonmaaknormen!BU23*calculatietarief,"")</f>
        <v/>
      </c>
      <c r="F23" s="192" t="str">
        <f ca="1">IF(Ruimtestaat!F23&gt;0,Schoonmaaknormen!BV23*calculatietarief,"")</f>
        <v/>
      </c>
      <c r="G23" s="191" t="str">
        <f ca="1">IF(Ruimtestaat!G23&gt;0,Schoonmaaknormen!BW23*calculatietarief,"")</f>
        <v/>
      </c>
      <c r="H23" s="191" t="str">
        <f ca="1">IF(Ruimtestaat!H23&gt;0,Schoonmaaknormen!BX23*calculatietarief,"")</f>
        <v/>
      </c>
      <c r="I23" s="193" t="str">
        <f ca="1">IF(Ruimtestaat!I23&gt;0,Schoonmaaknormen!BY23*calculatietarief,"")</f>
        <v/>
      </c>
      <c r="J23" s="193" t="str">
        <f ca="1">IF(Ruimtestaat!J23&gt;0,Schoonmaaknormen!BZ23*calculatietarief,"")</f>
        <v/>
      </c>
      <c r="K23" s="580"/>
      <c r="L23" s="528"/>
      <c r="M23" s="172" t="b">
        <f>IF(_xlfn.XLOOKUP(Schoonmaaknormen!BB23,Tabel2[Locatiecode],Tabel2[Type locatie],"",0)="vaccin",TRUE,FALSE)</f>
        <v>0</v>
      </c>
    </row>
    <row r="24" spans="1:13" ht="0.2" customHeight="1" x14ac:dyDescent="0.2">
      <c r="A24" s="172">
        <f ca="1">Ruimtestaat!A24</f>
        <v>2</v>
      </c>
      <c r="B24" s="527"/>
      <c r="C24" s="10">
        <v>104</v>
      </c>
      <c r="D24" s="194" t="str">
        <f ca="1">IF(Ruimtestaat!D24&gt;0,Schoonmaaknormen!BT24*calculatietarief,"")</f>
        <v/>
      </c>
      <c r="E24" s="192" t="str">
        <f ca="1">IF(Ruimtestaat!E24&gt;0,Schoonmaaknormen!BU24*calculatietarief,"")</f>
        <v/>
      </c>
      <c r="F24" s="192" t="str">
        <f ca="1">IF(Ruimtestaat!F24&gt;0,Schoonmaaknormen!BV24*calculatietarief,"")</f>
        <v/>
      </c>
      <c r="G24" s="192" t="str">
        <f ca="1">IF(Ruimtestaat!G24&gt;0,Schoonmaaknormen!BW24*calculatietarief,"")</f>
        <v/>
      </c>
      <c r="H24" s="192" t="str">
        <f ca="1">IF(Ruimtestaat!H24&gt;0,Schoonmaaknormen!BX24*calculatietarief,"")</f>
        <v/>
      </c>
      <c r="I24" s="193" t="str">
        <f ca="1">IF(Ruimtestaat!I24&gt;0,Schoonmaaknormen!BY24*calculatietarief,"")</f>
        <v/>
      </c>
      <c r="J24" s="193" t="str">
        <f ca="1">IF(Ruimtestaat!J24&gt;0,Schoonmaaknormen!BZ24*calculatietarief,"")</f>
        <v/>
      </c>
      <c r="K24" s="581" t="str">
        <f>IF(Ruimtestaat!K23&gt;0,Schoonmaaknormen!CA24*calculatietarief,"")</f>
        <v/>
      </c>
      <c r="L24" s="529"/>
      <c r="M24" s="172" t="b">
        <f>IF(_xlfn.XLOOKUP(Schoonmaaknormen!BB24,Tabel2[Locatiecode],Tabel2[Type locatie],"",0)="vaccin",TRUE,FALSE)</f>
        <v>0</v>
      </c>
    </row>
    <row r="25" spans="1:13" ht="0.2" customHeight="1" x14ac:dyDescent="0.2">
      <c r="A25" s="172">
        <f ca="1">Ruimtestaat!A25</f>
        <v>2</v>
      </c>
      <c r="B25" s="527"/>
      <c r="C25" s="10">
        <v>52</v>
      </c>
      <c r="D25" s="194" t="str">
        <f ca="1">IF(Ruimtestaat!D25&gt;0,Schoonmaaknormen!BT25*calculatietarief,"")</f>
        <v/>
      </c>
      <c r="E25" s="192" t="str">
        <f ca="1">IF(Ruimtestaat!E25&gt;0,Schoonmaaknormen!BU25*calculatietarief,"")</f>
        <v/>
      </c>
      <c r="F25" s="192" t="str">
        <f ca="1">IF(Ruimtestaat!F25&gt;0,Schoonmaaknormen!BV25*calculatietarief,"")</f>
        <v/>
      </c>
      <c r="G25" s="192" t="str">
        <f ca="1">IF(Ruimtestaat!G25&gt;0,Schoonmaaknormen!BW25*calculatietarief,"")</f>
        <v/>
      </c>
      <c r="H25" s="192" t="str">
        <f ca="1">IF(Ruimtestaat!H25&gt;0,Schoonmaaknormen!BX25*calculatietarief,"")</f>
        <v/>
      </c>
      <c r="I25" s="193" t="str">
        <f ca="1">IF(Ruimtestaat!I25&gt;0,Schoonmaaknormen!BY25*calculatietarief,"")</f>
        <v/>
      </c>
      <c r="J25" s="193" t="str">
        <f ca="1">IF(Ruimtestaat!J25&gt;0,Schoonmaaknormen!BZ25*calculatietarief,"")</f>
        <v/>
      </c>
      <c r="K25" s="581"/>
      <c r="L25" s="529"/>
      <c r="M25" s="172" t="b">
        <f>IF(_xlfn.XLOOKUP(Schoonmaaknormen!BB25,Tabel2[Locatiecode],Tabel2[Type locatie],"",0)="vaccin",TRUE,FALSE)</f>
        <v>0</v>
      </c>
    </row>
    <row r="26" spans="1:13" ht="0.2" customHeight="1" x14ac:dyDescent="0.2">
      <c r="A26" s="172">
        <f ca="1">Ruimtestaat!A26</f>
        <v>2</v>
      </c>
      <c r="B26" s="527"/>
      <c r="C26" s="10">
        <v>4</v>
      </c>
      <c r="D26" s="194" t="str">
        <f ca="1">IF(Ruimtestaat!D26&gt;0,Schoonmaaknormen!BT26*calculatietarief,"")</f>
        <v/>
      </c>
      <c r="E26" s="192" t="str">
        <f ca="1">IF(Ruimtestaat!E26&gt;0,Schoonmaaknormen!BU26*calculatietarief,"")</f>
        <v/>
      </c>
      <c r="F26" s="192" t="str">
        <f ca="1">IF(Ruimtestaat!F26&gt;0,Schoonmaaknormen!BV26*calculatietarief,"")</f>
        <v/>
      </c>
      <c r="G26" s="192" t="str">
        <f ca="1">IF(Ruimtestaat!G26&gt;0,Schoonmaaknormen!BW26*calculatietarief,"")</f>
        <v/>
      </c>
      <c r="H26" s="192" t="str">
        <f ca="1">IF(Ruimtestaat!H26&gt;0,Schoonmaaknormen!BX26*calculatietarief,"")</f>
        <v/>
      </c>
      <c r="I26" s="193" t="str">
        <f ca="1">IF(Ruimtestaat!I26&gt;0,Schoonmaaknormen!BY26*calculatietarief,"")</f>
        <v/>
      </c>
      <c r="J26" s="193" t="str">
        <f ca="1">IF(Ruimtestaat!J26&gt;0,Schoonmaaknormen!BZ26*calculatietarief,"")</f>
        <v/>
      </c>
      <c r="K26" s="581" t="str">
        <f>IF(Ruimtestaat!K26&gt;0,Schoonmaaknormen!CA26*calculatietarief,"")</f>
        <v/>
      </c>
      <c r="L26" s="529"/>
      <c r="M26" s="172" t="b">
        <f>IF(_xlfn.XLOOKUP(Schoonmaaknormen!BB26,Tabel2[Locatiecode],Tabel2[Type locatie],"",0)="vaccin",TRUE,FALSE)</f>
        <v>0</v>
      </c>
    </row>
    <row r="27" spans="1:13" ht="15" customHeight="1" x14ac:dyDescent="0.2">
      <c r="A27" s="172">
        <f ca="1">Ruimtestaat!A27</f>
        <v>1</v>
      </c>
      <c r="B27" s="532" t="str">
        <f>Schoonmaaknormen!BB27</f>
        <v>ALK-MWS</v>
      </c>
      <c r="C27" s="10">
        <v>255</v>
      </c>
      <c r="D27" s="190">
        <f ca="1">IF(Ruimtestaat!D27&gt;0,Schoonmaaknormen!BT27*calculatietarief,"")</f>
        <v>0</v>
      </c>
      <c r="E27" s="191">
        <f ca="1">IF(Ruimtestaat!E27&gt;0,Schoonmaaknormen!BU27*calculatietarief,"")</f>
        <v>0</v>
      </c>
      <c r="F27" s="192">
        <f ca="1">IF(Ruimtestaat!F27&gt;0,Schoonmaaknormen!BV27*calculatietarief,"")</f>
        <v>0</v>
      </c>
      <c r="G27" s="191">
        <f ca="1">IF(Ruimtestaat!G27&gt;0,Schoonmaaknormen!BW27*calculatietarief,"")</f>
        <v>0</v>
      </c>
      <c r="H27" s="191">
        <f ca="1">IF(Ruimtestaat!H27&gt;0,Schoonmaaknormen!BX27*calculatietarief,"")</f>
        <v>0</v>
      </c>
      <c r="I27" s="193">
        <f ca="1">IF(Ruimtestaat!I27&gt;0,Schoonmaaknormen!BY27*calculatietarief,"")</f>
        <v>0</v>
      </c>
      <c r="J27" s="193" t="str">
        <f ca="1">IF(Ruimtestaat!J27&gt;0,Schoonmaaknormen!BZ27*calculatietarief,"")</f>
        <v/>
      </c>
      <c r="K27" s="580" t="str">
        <f>IF(Schoonmaaknormen!K27&gt;0,Schoonmaaknormen!CA27*calculatietarief,"")</f>
        <v/>
      </c>
      <c r="L27" s="528">
        <f ca="1">SUM(D27:K32)</f>
        <v>0</v>
      </c>
      <c r="M27" s="172" t="b">
        <f>IF(_xlfn.XLOOKUP(Schoonmaaknormen!BB27,Tabel2[Locatiecode],Tabel2[Type locatie],"",0)="vaccin",TRUE,FALSE)</f>
        <v>0</v>
      </c>
    </row>
    <row r="28" spans="1:13" ht="0.2" customHeight="1" x14ac:dyDescent="0.2">
      <c r="A28" s="172">
        <f ca="1">Ruimtestaat!A28</f>
        <v>2</v>
      </c>
      <c r="B28" s="532"/>
      <c r="C28" s="10">
        <v>204</v>
      </c>
      <c r="D28" s="190" t="str">
        <f ca="1">IF(Ruimtestaat!D28&gt;0,Schoonmaaknormen!BT28*calculatietarief,"")</f>
        <v/>
      </c>
      <c r="E28" s="191" t="str">
        <f ca="1">IF(Ruimtestaat!E28&gt;0,Schoonmaaknormen!BU28*calculatietarief,"")</f>
        <v/>
      </c>
      <c r="F28" s="192" t="str">
        <f ca="1">IF(Ruimtestaat!F28&gt;0,Schoonmaaknormen!BV28*calculatietarief,"")</f>
        <v/>
      </c>
      <c r="G28" s="191" t="str">
        <f ca="1">IF(Ruimtestaat!G28&gt;0,Schoonmaaknormen!BW28*calculatietarief,"")</f>
        <v/>
      </c>
      <c r="H28" s="191" t="str">
        <f ca="1">IF(Ruimtestaat!H28&gt;0,Schoonmaaknormen!BX28*calculatietarief,"")</f>
        <v/>
      </c>
      <c r="I28" s="193" t="str">
        <f ca="1">IF(Ruimtestaat!I28&gt;0,Schoonmaaknormen!BY28*calculatietarief,"")</f>
        <v/>
      </c>
      <c r="J28" s="193" t="str">
        <f ca="1">IF(Ruimtestaat!J28&gt;0,Schoonmaaknormen!BZ28*calculatietarief,"")</f>
        <v/>
      </c>
      <c r="K28" s="580"/>
      <c r="L28" s="528"/>
      <c r="M28" s="172" t="b">
        <f>IF(_xlfn.XLOOKUP(Schoonmaaknormen!BB28,Tabel2[Locatiecode],Tabel2[Type locatie],"",0)="vaccin",TRUE,FALSE)</f>
        <v>0</v>
      </c>
    </row>
    <row r="29" spans="1:13" ht="0.2" customHeight="1" x14ac:dyDescent="0.2">
      <c r="A29" s="172">
        <f ca="1">Ruimtestaat!A29</f>
        <v>2</v>
      </c>
      <c r="B29" s="532"/>
      <c r="C29" s="10">
        <v>156</v>
      </c>
      <c r="D29" s="190" t="str">
        <f ca="1">IF(Ruimtestaat!D29&gt;0,Schoonmaaknormen!BT29*calculatietarief,"")</f>
        <v/>
      </c>
      <c r="E29" s="191" t="str">
        <f ca="1">IF(Ruimtestaat!E29&gt;0,Schoonmaaknormen!BU29*calculatietarief,"")</f>
        <v/>
      </c>
      <c r="F29" s="192" t="str">
        <f ca="1">IF(Ruimtestaat!F29&gt;0,Schoonmaaknormen!BV29*calculatietarief,"")</f>
        <v/>
      </c>
      <c r="G29" s="191" t="str">
        <f ca="1">IF(Ruimtestaat!G29&gt;0,Schoonmaaknormen!BW29*calculatietarief,"")</f>
        <v/>
      </c>
      <c r="H29" s="191" t="str">
        <f ca="1">IF(Ruimtestaat!H29&gt;0,Schoonmaaknormen!BX29*calculatietarief,"")</f>
        <v/>
      </c>
      <c r="I29" s="193" t="str">
        <f ca="1">IF(Ruimtestaat!I29&gt;0,Schoonmaaknormen!BY29*calculatietarief,"")</f>
        <v/>
      </c>
      <c r="J29" s="193" t="str">
        <f ca="1">IF(Ruimtestaat!J29&gt;0,Schoonmaaknormen!BZ29*calculatietarief,"")</f>
        <v/>
      </c>
      <c r="K29" s="580"/>
      <c r="L29" s="528"/>
      <c r="M29" s="172" t="b">
        <f>IF(_xlfn.XLOOKUP(Schoonmaaknormen!BB29,Tabel2[Locatiecode],Tabel2[Type locatie],"",0)="vaccin",TRUE,FALSE)</f>
        <v>0</v>
      </c>
    </row>
    <row r="30" spans="1:13" ht="0.2" customHeight="1" x14ac:dyDescent="0.2">
      <c r="A30" s="172">
        <f ca="1">Ruimtestaat!A30</f>
        <v>2</v>
      </c>
      <c r="B30" s="532"/>
      <c r="C30" s="10">
        <v>104</v>
      </c>
      <c r="D30" s="194" t="str">
        <f ca="1">IF(Ruimtestaat!D30&gt;0,Schoonmaaknormen!BT30*calculatietarief,"")</f>
        <v/>
      </c>
      <c r="E30" s="192" t="str">
        <f ca="1">IF(Ruimtestaat!E30&gt;0,Schoonmaaknormen!BU30*calculatietarief,"")</f>
        <v/>
      </c>
      <c r="F30" s="192" t="str">
        <f ca="1">IF(Ruimtestaat!F30&gt;0,Schoonmaaknormen!BV30*calculatietarief,"")</f>
        <v/>
      </c>
      <c r="G30" s="192" t="str">
        <f ca="1">IF(Ruimtestaat!G30&gt;0,Schoonmaaknormen!BW30*calculatietarief,"")</f>
        <v/>
      </c>
      <c r="H30" s="192" t="str">
        <f ca="1">IF(Ruimtestaat!H30&gt;0,Schoonmaaknormen!BX30*calculatietarief,"")</f>
        <v/>
      </c>
      <c r="I30" s="193" t="str">
        <f ca="1">IF(Ruimtestaat!I30&gt;0,Schoonmaaknormen!BY30*calculatietarief,"")</f>
        <v/>
      </c>
      <c r="J30" s="193" t="str">
        <f ca="1">IF(Ruimtestaat!J30&gt;0,Schoonmaaknormen!BZ30*calculatietarief,"")</f>
        <v/>
      </c>
      <c r="K30" s="581" t="str">
        <f>IF(Ruimtestaat!K29&gt;0,Schoonmaaknormen!CA30*calculatietarief,"")</f>
        <v/>
      </c>
      <c r="L30" s="529"/>
      <c r="M30" s="172" t="b">
        <f>IF(_xlfn.XLOOKUP(Schoonmaaknormen!BB30,Tabel2[Locatiecode],Tabel2[Type locatie],"",0)="vaccin",TRUE,FALSE)</f>
        <v>0</v>
      </c>
    </row>
    <row r="31" spans="1:13" ht="0.2" customHeight="1" x14ac:dyDescent="0.2">
      <c r="A31" s="172">
        <f ca="1">Ruimtestaat!A31</f>
        <v>2</v>
      </c>
      <c r="B31" s="532"/>
      <c r="C31" s="10">
        <v>52</v>
      </c>
      <c r="D31" s="194" t="str">
        <f ca="1">IF(Ruimtestaat!D31&gt;0,Schoonmaaknormen!BT31*calculatietarief,"")</f>
        <v/>
      </c>
      <c r="E31" s="192" t="str">
        <f ca="1">IF(Ruimtestaat!E31&gt;0,Schoonmaaknormen!BU31*calculatietarief,"")</f>
        <v/>
      </c>
      <c r="F31" s="192" t="str">
        <f ca="1">IF(Ruimtestaat!F31&gt;0,Schoonmaaknormen!BV31*calculatietarief,"")</f>
        <v/>
      </c>
      <c r="G31" s="192" t="str">
        <f ca="1">IF(Ruimtestaat!G31&gt;0,Schoonmaaknormen!BW31*calculatietarief,"")</f>
        <v/>
      </c>
      <c r="H31" s="192" t="str">
        <f ca="1">IF(Ruimtestaat!H31&gt;0,Schoonmaaknormen!BX31*calculatietarief,"")</f>
        <v/>
      </c>
      <c r="I31" s="193" t="str">
        <f ca="1">IF(Ruimtestaat!I31&gt;0,Schoonmaaknormen!BY31*calculatietarief,"")</f>
        <v/>
      </c>
      <c r="J31" s="193" t="str">
        <f ca="1">IF(Ruimtestaat!J31&gt;0,Schoonmaaknormen!BZ31*calculatietarief,"")</f>
        <v/>
      </c>
      <c r="K31" s="581"/>
      <c r="L31" s="529"/>
      <c r="M31" s="172" t="b">
        <f>IF(_xlfn.XLOOKUP(Schoonmaaknormen!BB31,Tabel2[Locatiecode],Tabel2[Type locatie],"",0)="vaccin",TRUE,FALSE)</f>
        <v>0</v>
      </c>
    </row>
    <row r="32" spans="1:13" ht="0.2" customHeight="1" x14ac:dyDescent="0.2">
      <c r="A32" s="172">
        <f ca="1">Ruimtestaat!A32</f>
        <v>2</v>
      </c>
      <c r="B32" s="532"/>
      <c r="C32" s="10">
        <v>4</v>
      </c>
      <c r="D32" s="194" t="str">
        <f ca="1">IF(Ruimtestaat!D32&gt;0,Schoonmaaknormen!BT32*calculatietarief,"")</f>
        <v/>
      </c>
      <c r="E32" s="192" t="str">
        <f ca="1">IF(Ruimtestaat!E32&gt;0,Schoonmaaknormen!BU32*calculatietarief,"")</f>
        <v/>
      </c>
      <c r="F32" s="192" t="str">
        <f ca="1">IF(Ruimtestaat!F32&gt;0,Schoonmaaknormen!BV32*calculatietarief,"")</f>
        <v/>
      </c>
      <c r="G32" s="192" t="str">
        <f ca="1">IF(Ruimtestaat!G32&gt;0,Schoonmaaknormen!BW32*calculatietarief,"")</f>
        <v/>
      </c>
      <c r="H32" s="192" t="str">
        <f ca="1">IF(Ruimtestaat!H32&gt;0,Schoonmaaknormen!BX32*calculatietarief,"")</f>
        <v/>
      </c>
      <c r="I32" s="193" t="str">
        <f ca="1">IF(Ruimtestaat!I32&gt;0,Schoonmaaknormen!BY32*calculatietarief,"")</f>
        <v/>
      </c>
      <c r="J32" s="193" t="str">
        <f ca="1">IF(Ruimtestaat!J32&gt;0,Schoonmaaknormen!BZ32*calculatietarief,"")</f>
        <v/>
      </c>
      <c r="K32" s="581" t="str">
        <f>IF(Ruimtestaat!K32&gt;0,Schoonmaaknormen!CA32*calculatietarief,"")</f>
        <v/>
      </c>
      <c r="L32" s="529"/>
      <c r="M32" s="172" t="b">
        <f>IF(_xlfn.XLOOKUP(Schoonmaaknormen!BB32,Tabel2[Locatiecode],Tabel2[Type locatie],"",0)="vaccin",TRUE,FALSE)</f>
        <v>0</v>
      </c>
    </row>
    <row r="33" spans="1:13" ht="15" customHeight="1" x14ac:dyDescent="0.2">
      <c r="A33" s="172">
        <f ca="1">Ruimtestaat!A33</f>
        <v>1</v>
      </c>
      <c r="B33" s="532" t="str">
        <f>Schoonmaaknormen!BB33</f>
        <v>ALK-OLW</v>
      </c>
      <c r="C33" s="10">
        <v>255</v>
      </c>
      <c r="D33" s="190" t="str">
        <f ca="1">IF(Ruimtestaat!D33&gt;0,Schoonmaaknormen!BT33*calculatietarief,"")</f>
        <v/>
      </c>
      <c r="E33" s="191">
        <f ca="1">IF(Ruimtestaat!E33&gt;0,Schoonmaaknormen!BU33*calculatietarief,"")</f>
        <v>0</v>
      </c>
      <c r="F33" s="192">
        <f ca="1">IF(Ruimtestaat!F33&gt;0,Schoonmaaknormen!BV33*calculatietarief,"")</f>
        <v>0</v>
      </c>
      <c r="G33" s="191">
        <f ca="1">IF(Ruimtestaat!G33&gt;0,Schoonmaaknormen!BW33*calculatietarief,"")</f>
        <v>0</v>
      </c>
      <c r="H33" s="191">
        <f ca="1">IF(Ruimtestaat!H33&gt;0,Schoonmaaknormen!BX33*calculatietarief,"")</f>
        <v>0</v>
      </c>
      <c r="I33" s="193">
        <f ca="1">IF(Ruimtestaat!I33&gt;0,Schoonmaaknormen!BY33*calculatietarief,"")</f>
        <v>0</v>
      </c>
      <c r="J33" s="193" t="str">
        <f ca="1">IF(Ruimtestaat!J33&gt;0,Schoonmaaknormen!BZ33*calculatietarief,"")</f>
        <v/>
      </c>
      <c r="K33" s="580" t="str">
        <f>IF(Schoonmaaknormen!K33&gt;0,Schoonmaaknormen!CA33*calculatietarief,"")</f>
        <v/>
      </c>
      <c r="L33" s="528">
        <f ca="1">SUM(D33:K38)</f>
        <v>0</v>
      </c>
      <c r="M33" s="172" t="b">
        <f>IF(_xlfn.XLOOKUP(Schoonmaaknormen!BB33,Tabel2[Locatiecode],Tabel2[Type locatie],"",0)="vaccin",TRUE,FALSE)</f>
        <v>1</v>
      </c>
    </row>
    <row r="34" spans="1:13" ht="0.2" customHeight="1" x14ac:dyDescent="0.2">
      <c r="A34" s="172">
        <f ca="1">Ruimtestaat!A34</f>
        <v>0</v>
      </c>
      <c r="B34" s="532"/>
      <c r="C34" s="10">
        <v>204</v>
      </c>
      <c r="D34" s="190" t="str">
        <f ca="1">IF(Ruimtestaat!D34&gt;0,Schoonmaaknormen!BT34*calculatietarief,"")</f>
        <v/>
      </c>
      <c r="E34" s="191" t="str">
        <f ca="1">IF(Ruimtestaat!E34&gt;0,Schoonmaaknormen!BU34*calculatietarief,"")</f>
        <v/>
      </c>
      <c r="F34" s="192" t="str">
        <f ca="1">IF(Ruimtestaat!F34&gt;0,Schoonmaaknormen!BV34*calculatietarief,"")</f>
        <v/>
      </c>
      <c r="G34" s="191" t="str">
        <f ca="1">IF(Ruimtestaat!G34&gt;0,Schoonmaaknormen!BW34*calculatietarief,"")</f>
        <v/>
      </c>
      <c r="H34" s="191" t="str">
        <f ca="1">IF(Ruimtestaat!H34&gt;0,Schoonmaaknormen!BX34*calculatietarief,"")</f>
        <v/>
      </c>
      <c r="I34" s="193" t="str">
        <f ca="1">IF(Ruimtestaat!I34&gt;0,Schoonmaaknormen!BY34*calculatietarief,"")</f>
        <v/>
      </c>
      <c r="J34" s="193" t="str">
        <f ca="1">IF(Ruimtestaat!J34&gt;0,Schoonmaaknormen!BZ34*calculatietarief,"")</f>
        <v/>
      </c>
      <c r="K34" s="580"/>
      <c r="L34" s="528"/>
      <c r="M34" s="172" t="b">
        <f>IF(_xlfn.XLOOKUP(Schoonmaaknormen!BB34,Tabel2[Locatiecode],Tabel2[Type locatie],"",0)="vaccin",TRUE,FALSE)</f>
        <v>1</v>
      </c>
    </row>
    <row r="35" spans="1:13" ht="0.2" customHeight="1" x14ac:dyDescent="0.2">
      <c r="A35" s="172">
        <f ca="1">Ruimtestaat!A35</f>
        <v>0</v>
      </c>
      <c r="B35" s="532"/>
      <c r="C35" s="10">
        <v>156</v>
      </c>
      <c r="D35" s="190" t="str">
        <f ca="1">IF(Ruimtestaat!D35&gt;0,Schoonmaaknormen!BT35*calculatietarief,"")</f>
        <v/>
      </c>
      <c r="E35" s="191" t="str">
        <f ca="1">IF(Ruimtestaat!E35&gt;0,Schoonmaaknormen!BU35*calculatietarief,"")</f>
        <v/>
      </c>
      <c r="F35" s="192" t="str">
        <f ca="1">IF(Ruimtestaat!F35&gt;0,Schoonmaaknormen!BV35*calculatietarief,"")</f>
        <v/>
      </c>
      <c r="G35" s="191" t="str">
        <f ca="1">IF(Ruimtestaat!G35&gt;0,Schoonmaaknormen!BW35*calculatietarief,"")</f>
        <v/>
      </c>
      <c r="H35" s="191" t="str">
        <f ca="1">IF(Ruimtestaat!H35&gt;0,Schoonmaaknormen!BX35*calculatietarief,"")</f>
        <v/>
      </c>
      <c r="I35" s="193" t="str">
        <f ca="1">IF(Ruimtestaat!I35&gt;0,Schoonmaaknormen!BY35*calculatietarief,"")</f>
        <v/>
      </c>
      <c r="J35" s="193" t="str">
        <f ca="1">IF(Ruimtestaat!J35&gt;0,Schoonmaaknormen!BZ35*calculatietarief,"")</f>
        <v/>
      </c>
      <c r="K35" s="580"/>
      <c r="L35" s="528"/>
      <c r="M35" s="172" t="b">
        <f>IF(_xlfn.XLOOKUP(Schoonmaaknormen!BB35,Tabel2[Locatiecode],Tabel2[Type locatie],"",0)="vaccin",TRUE,FALSE)</f>
        <v>1</v>
      </c>
    </row>
    <row r="36" spans="1:13" ht="0.2" customHeight="1" x14ac:dyDescent="0.2">
      <c r="A36" s="172">
        <f ca="1">Ruimtestaat!A36</f>
        <v>0</v>
      </c>
      <c r="B36" s="532"/>
      <c r="C36" s="10">
        <v>104</v>
      </c>
      <c r="D36" s="194" t="str">
        <f ca="1">IF(Ruimtestaat!D36&gt;0,Schoonmaaknormen!BT36*calculatietarief,"")</f>
        <v/>
      </c>
      <c r="E36" s="192" t="str">
        <f ca="1">IF(Ruimtestaat!E36&gt;0,Schoonmaaknormen!BU36*calculatietarief,"")</f>
        <v/>
      </c>
      <c r="F36" s="192" t="str">
        <f ca="1">IF(Ruimtestaat!F36&gt;0,Schoonmaaknormen!BV36*calculatietarief,"")</f>
        <v/>
      </c>
      <c r="G36" s="192" t="str">
        <f ca="1">IF(Ruimtestaat!G36&gt;0,Schoonmaaknormen!BW36*calculatietarief,"")</f>
        <v/>
      </c>
      <c r="H36" s="192" t="str">
        <f ca="1">IF(Ruimtestaat!H36&gt;0,Schoonmaaknormen!BX36*calculatietarief,"")</f>
        <v/>
      </c>
      <c r="I36" s="193" t="str">
        <f ca="1">IF(Ruimtestaat!I36&gt;0,Schoonmaaknormen!BY36*calculatietarief,"")</f>
        <v/>
      </c>
      <c r="J36" s="193" t="str">
        <f ca="1">IF(Ruimtestaat!J36&gt;0,Schoonmaaknormen!BZ36*calculatietarief,"")</f>
        <v/>
      </c>
      <c r="K36" s="581" t="str">
        <f>IF(Ruimtestaat!K35&gt;0,Schoonmaaknormen!CA36*calculatietarief,"")</f>
        <v/>
      </c>
      <c r="L36" s="529"/>
      <c r="M36" s="172" t="b">
        <f>IF(_xlfn.XLOOKUP(Schoonmaaknormen!BB36,Tabel2[Locatiecode],Tabel2[Type locatie],"",0)="vaccin",TRUE,FALSE)</f>
        <v>1</v>
      </c>
    </row>
    <row r="37" spans="1:13" ht="0.2" customHeight="1" x14ac:dyDescent="0.2">
      <c r="A37" s="172">
        <f ca="1">Ruimtestaat!A37</f>
        <v>0</v>
      </c>
      <c r="B37" s="532"/>
      <c r="C37" s="10">
        <v>52</v>
      </c>
      <c r="D37" s="194" t="str">
        <f ca="1">IF(Ruimtestaat!D37&gt;0,Schoonmaaknormen!BT37*calculatietarief,"")</f>
        <v/>
      </c>
      <c r="E37" s="192" t="str">
        <f ca="1">IF(Ruimtestaat!E37&gt;0,Schoonmaaknormen!BU37*calculatietarief,"")</f>
        <v/>
      </c>
      <c r="F37" s="192" t="str">
        <f ca="1">IF(Ruimtestaat!F37&gt;0,Schoonmaaknormen!BV37*calculatietarief,"")</f>
        <v/>
      </c>
      <c r="G37" s="192" t="str">
        <f ca="1">IF(Ruimtestaat!G37&gt;0,Schoonmaaknormen!BW37*calculatietarief,"")</f>
        <v/>
      </c>
      <c r="H37" s="192" t="str">
        <f ca="1">IF(Ruimtestaat!H37&gt;0,Schoonmaaknormen!BX37*calculatietarief,"")</f>
        <v/>
      </c>
      <c r="I37" s="193" t="str">
        <f ca="1">IF(Ruimtestaat!I37&gt;0,Schoonmaaknormen!BY37*calculatietarief,"")</f>
        <v/>
      </c>
      <c r="J37" s="193" t="str">
        <f ca="1">IF(Ruimtestaat!J37&gt;0,Schoonmaaknormen!BZ37*calculatietarief,"")</f>
        <v/>
      </c>
      <c r="K37" s="581"/>
      <c r="L37" s="529"/>
      <c r="M37" s="172" t="b">
        <f>IF(_xlfn.XLOOKUP(Schoonmaaknormen!BB37,Tabel2[Locatiecode],Tabel2[Type locatie],"",0)="vaccin",TRUE,FALSE)</f>
        <v>1</v>
      </c>
    </row>
    <row r="38" spans="1:13" ht="0.2" customHeight="1" x14ac:dyDescent="0.2">
      <c r="A38" s="172">
        <f ca="1">Ruimtestaat!A38</f>
        <v>2</v>
      </c>
      <c r="B38" s="532"/>
      <c r="C38" s="10">
        <v>4</v>
      </c>
      <c r="D38" s="194" t="str">
        <f ca="1">IF(Ruimtestaat!D38&gt;0,Schoonmaaknormen!BT38*calculatietarief,"")</f>
        <v/>
      </c>
      <c r="E38" s="192" t="str">
        <f ca="1">IF(Ruimtestaat!E38&gt;0,Schoonmaaknormen!BU38*calculatietarief,"")</f>
        <v/>
      </c>
      <c r="F38" s="192" t="str">
        <f ca="1">IF(Ruimtestaat!F38&gt;0,Schoonmaaknormen!BV38*calculatietarief,"")</f>
        <v/>
      </c>
      <c r="G38" s="192" t="str">
        <f ca="1">IF(Ruimtestaat!G38&gt;0,Schoonmaaknormen!BW38*calculatietarief,"")</f>
        <v/>
      </c>
      <c r="H38" s="192" t="str">
        <f ca="1">IF(Ruimtestaat!H38&gt;0,Schoonmaaknormen!BX38*calculatietarief,"")</f>
        <v/>
      </c>
      <c r="I38" s="193" t="str">
        <f ca="1">IF(Ruimtestaat!I38&gt;0,Schoonmaaknormen!BY38*calculatietarief,"")</f>
        <v/>
      </c>
      <c r="J38" s="193" t="str">
        <f ca="1">IF(Ruimtestaat!J38&gt;0,Schoonmaaknormen!BZ38*calculatietarief,"")</f>
        <v/>
      </c>
      <c r="K38" s="581" t="str">
        <f>IF(Ruimtestaat!K38&gt;0,Schoonmaaknormen!CA38*calculatietarief,"")</f>
        <v/>
      </c>
      <c r="L38" s="529"/>
      <c r="M38" s="172" t="b">
        <f>IF(_xlfn.XLOOKUP(Schoonmaaknormen!BB38,Tabel2[Locatiecode],Tabel2[Type locatie],"",0)="vaccin",TRUE,FALSE)</f>
        <v>1</v>
      </c>
    </row>
    <row r="39" spans="1:13" ht="15" customHeight="1" x14ac:dyDescent="0.2">
      <c r="A39" s="172">
        <f ca="1">Ruimtestaat!A39</f>
        <v>1</v>
      </c>
      <c r="B39" s="532" t="str">
        <f>Schoonmaaknormen!BB39</f>
        <v>ALK-VAS</v>
      </c>
      <c r="C39" s="10">
        <v>255</v>
      </c>
      <c r="D39" s="190" t="str">
        <f ca="1">IF(Ruimtestaat!D39&gt;0,Schoonmaaknormen!BT39*calculatietarief,"")</f>
        <v/>
      </c>
      <c r="E39" s="191">
        <f ca="1">IF(Ruimtestaat!E39&gt;0,Schoonmaaknormen!BU39*calculatietarief,"")</f>
        <v>0</v>
      </c>
      <c r="F39" s="192">
        <f ca="1">IF(Ruimtestaat!F39&gt;0,Schoonmaaknormen!BV39*calculatietarief,"")</f>
        <v>0</v>
      </c>
      <c r="G39" s="191" t="str">
        <f ca="1">IF(Ruimtestaat!G39&gt;0,Schoonmaaknormen!BW39*calculatietarief,"")</f>
        <v/>
      </c>
      <c r="H39" s="191">
        <f ca="1">IF(Ruimtestaat!H39&gt;0,Schoonmaaknormen!BX39*calculatietarief,"")</f>
        <v>0</v>
      </c>
      <c r="I39" s="193">
        <f ca="1">IF(Ruimtestaat!I39&gt;0,Schoonmaaknormen!BY39*calculatietarief,"")</f>
        <v>0</v>
      </c>
      <c r="J39" s="193" t="str">
        <f ca="1">IF(Ruimtestaat!J39&gt;0,Schoonmaaknormen!BZ39*calculatietarief,"")</f>
        <v/>
      </c>
      <c r="K39" s="580" t="str">
        <f>IF(Schoonmaaknormen!K39&gt;0,Schoonmaaknormen!CA39*calculatietarief,"")</f>
        <v/>
      </c>
      <c r="L39" s="528">
        <f ca="1">SUM(D39:K44)</f>
        <v>0</v>
      </c>
      <c r="M39" s="172" t="b">
        <f>IF(_xlfn.XLOOKUP(Schoonmaaknormen!BB39,Tabel2[Locatiecode],Tabel2[Type locatie],"",0)="vaccin",TRUE,FALSE)</f>
        <v>0</v>
      </c>
    </row>
    <row r="40" spans="1:13" ht="0.2" customHeight="1" x14ac:dyDescent="0.2">
      <c r="A40" s="172">
        <f ca="1">Ruimtestaat!A40</f>
        <v>2</v>
      </c>
      <c r="B40" s="532"/>
      <c r="C40" s="10">
        <v>204</v>
      </c>
      <c r="D40" s="190" t="str">
        <f ca="1">IF(Ruimtestaat!D40&gt;0,Schoonmaaknormen!BT40*calculatietarief,"")</f>
        <v/>
      </c>
      <c r="E40" s="191" t="str">
        <f ca="1">IF(Ruimtestaat!E40&gt;0,Schoonmaaknormen!BU40*calculatietarief,"")</f>
        <v/>
      </c>
      <c r="F40" s="192" t="str">
        <f ca="1">IF(Ruimtestaat!F40&gt;0,Schoonmaaknormen!BV40*calculatietarief,"")</f>
        <v/>
      </c>
      <c r="G40" s="191" t="str">
        <f ca="1">IF(Ruimtestaat!G40&gt;0,Schoonmaaknormen!BW40*calculatietarief,"")</f>
        <v/>
      </c>
      <c r="H40" s="191" t="str">
        <f ca="1">IF(Ruimtestaat!H40&gt;0,Schoonmaaknormen!BX40*calculatietarief,"")</f>
        <v/>
      </c>
      <c r="I40" s="193" t="str">
        <f ca="1">IF(Ruimtestaat!I40&gt;0,Schoonmaaknormen!BY40*calculatietarief,"")</f>
        <v/>
      </c>
      <c r="J40" s="193" t="str">
        <f ca="1">IF(Ruimtestaat!J40&gt;0,Schoonmaaknormen!BZ40*calculatietarief,"")</f>
        <v/>
      </c>
      <c r="K40" s="580"/>
      <c r="L40" s="528"/>
      <c r="M40" s="172" t="b">
        <f>IF(_xlfn.XLOOKUP(Schoonmaaknormen!BB40,Tabel2[Locatiecode],Tabel2[Type locatie],"",0)="vaccin",TRUE,FALSE)</f>
        <v>0</v>
      </c>
    </row>
    <row r="41" spans="1:13" ht="0.2" customHeight="1" x14ac:dyDescent="0.2">
      <c r="A41" s="172">
        <f ca="1">Ruimtestaat!A41</f>
        <v>2</v>
      </c>
      <c r="B41" s="532"/>
      <c r="C41" s="10">
        <v>156</v>
      </c>
      <c r="D41" s="190" t="str">
        <f ca="1">IF(Ruimtestaat!D41&gt;0,Schoonmaaknormen!BT41*calculatietarief,"")</f>
        <v/>
      </c>
      <c r="E41" s="191" t="str">
        <f ca="1">IF(Ruimtestaat!E41&gt;0,Schoonmaaknormen!BU41*calculatietarief,"")</f>
        <v/>
      </c>
      <c r="F41" s="192" t="str">
        <f ca="1">IF(Ruimtestaat!F41&gt;0,Schoonmaaknormen!BV41*calculatietarief,"")</f>
        <v/>
      </c>
      <c r="G41" s="191" t="str">
        <f ca="1">IF(Ruimtestaat!G41&gt;0,Schoonmaaknormen!BW41*calculatietarief,"")</f>
        <v/>
      </c>
      <c r="H41" s="191" t="str">
        <f ca="1">IF(Ruimtestaat!H41&gt;0,Schoonmaaknormen!BX41*calculatietarief,"")</f>
        <v/>
      </c>
      <c r="I41" s="193" t="str">
        <f ca="1">IF(Ruimtestaat!I41&gt;0,Schoonmaaknormen!BY41*calculatietarief,"")</f>
        <v/>
      </c>
      <c r="J41" s="193" t="str">
        <f ca="1">IF(Ruimtestaat!J41&gt;0,Schoonmaaknormen!BZ41*calculatietarief,"")</f>
        <v/>
      </c>
      <c r="K41" s="580"/>
      <c r="L41" s="528"/>
      <c r="M41" s="172" t="b">
        <f>IF(_xlfn.XLOOKUP(Schoonmaaknormen!BB41,Tabel2[Locatiecode],Tabel2[Type locatie],"",0)="vaccin",TRUE,FALSE)</f>
        <v>0</v>
      </c>
    </row>
    <row r="42" spans="1:13" ht="0.2" customHeight="1" x14ac:dyDescent="0.2">
      <c r="A42" s="172">
        <f ca="1">Ruimtestaat!A42</f>
        <v>2</v>
      </c>
      <c r="B42" s="532"/>
      <c r="C42" s="10">
        <v>104</v>
      </c>
      <c r="D42" s="194" t="str">
        <f ca="1">IF(Ruimtestaat!D42&gt;0,Schoonmaaknormen!BT42*calculatietarief,"")</f>
        <v/>
      </c>
      <c r="E42" s="192" t="str">
        <f ca="1">IF(Ruimtestaat!E42&gt;0,Schoonmaaknormen!BU42*calculatietarief,"")</f>
        <v/>
      </c>
      <c r="F42" s="192" t="str">
        <f ca="1">IF(Ruimtestaat!F42&gt;0,Schoonmaaknormen!BV42*calculatietarief,"")</f>
        <v/>
      </c>
      <c r="G42" s="192" t="str">
        <f ca="1">IF(Ruimtestaat!G42&gt;0,Schoonmaaknormen!BW42*calculatietarief,"")</f>
        <v/>
      </c>
      <c r="H42" s="192" t="str">
        <f ca="1">IF(Ruimtestaat!H42&gt;0,Schoonmaaknormen!BX42*calculatietarief,"")</f>
        <v/>
      </c>
      <c r="I42" s="193" t="str">
        <f ca="1">IF(Ruimtestaat!I42&gt;0,Schoonmaaknormen!BY42*calculatietarief,"")</f>
        <v/>
      </c>
      <c r="J42" s="193" t="str">
        <f ca="1">IF(Ruimtestaat!J42&gt;0,Schoonmaaknormen!BZ42*calculatietarief,"")</f>
        <v/>
      </c>
      <c r="K42" s="581" t="str">
        <f>IF(Ruimtestaat!K41&gt;0,Schoonmaaknormen!CA42*calculatietarief,"")</f>
        <v/>
      </c>
      <c r="L42" s="529"/>
      <c r="M42" s="172" t="b">
        <f>IF(_xlfn.XLOOKUP(Schoonmaaknormen!BB42,Tabel2[Locatiecode],Tabel2[Type locatie],"",0)="vaccin",TRUE,FALSE)</f>
        <v>0</v>
      </c>
    </row>
    <row r="43" spans="1:13" ht="0.2" customHeight="1" x14ac:dyDescent="0.2">
      <c r="A43" s="172">
        <f ca="1">Ruimtestaat!A43</f>
        <v>2</v>
      </c>
      <c r="B43" s="532"/>
      <c r="C43" s="10">
        <v>52</v>
      </c>
      <c r="D43" s="194" t="str">
        <f ca="1">IF(Ruimtestaat!D43&gt;0,Schoonmaaknormen!BT43*calculatietarief,"")</f>
        <v/>
      </c>
      <c r="E43" s="192" t="str">
        <f ca="1">IF(Ruimtestaat!E43&gt;0,Schoonmaaknormen!BU43*calculatietarief,"")</f>
        <v/>
      </c>
      <c r="F43" s="192" t="str">
        <f ca="1">IF(Ruimtestaat!F43&gt;0,Schoonmaaknormen!BV43*calculatietarief,"")</f>
        <v/>
      </c>
      <c r="G43" s="192" t="str">
        <f ca="1">IF(Ruimtestaat!G43&gt;0,Schoonmaaknormen!BW43*calculatietarief,"")</f>
        <v/>
      </c>
      <c r="H43" s="192" t="str">
        <f ca="1">IF(Ruimtestaat!H43&gt;0,Schoonmaaknormen!BX43*calculatietarief,"")</f>
        <v/>
      </c>
      <c r="I43" s="193" t="str">
        <f ca="1">IF(Ruimtestaat!I43&gt;0,Schoonmaaknormen!BY43*calculatietarief,"")</f>
        <v/>
      </c>
      <c r="J43" s="193" t="str">
        <f ca="1">IF(Ruimtestaat!J43&gt;0,Schoonmaaknormen!BZ43*calculatietarief,"")</f>
        <v/>
      </c>
      <c r="K43" s="581"/>
      <c r="L43" s="529"/>
      <c r="M43" s="172" t="b">
        <f>IF(_xlfn.XLOOKUP(Schoonmaaknormen!BB43,Tabel2[Locatiecode],Tabel2[Type locatie],"",0)="vaccin",TRUE,FALSE)</f>
        <v>0</v>
      </c>
    </row>
    <row r="44" spans="1:13" ht="0.2" customHeight="1" x14ac:dyDescent="0.2">
      <c r="A44" s="172">
        <f ca="1">Ruimtestaat!A44</f>
        <v>2</v>
      </c>
      <c r="B44" s="532"/>
      <c r="C44" s="10">
        <v>4</v>
      </c>
      <c r="D44" s="194" t="str">
        <f ca="1">IF(Ruimtestaat!D44&gt;0,Schoonmaaknormen!BT44*calculatietarief,"")</f>
        <v/>
      </c>
      <c r="E44" s="192" t="str">
        <f ca="1">IF(Ruimtestaat!E44&gt;0,Schoonmaaknormen!BU44*calculatietarief,"")</f>
        <v/>
      </c>
      <c r="F44" s="192" t="str">
        <f ca="1">IF(Ruimtestaat!F44&gt;0,Schoonmaaknormen!BV44*calculatietarief,"")</f>
        <v/>
      </c>
      <c r="G44" s="192" t="str">
        <f ca="1">IF(Ruimtestaat!G44&gt;0,Schoonmaaknormen!BW44*calculatietarief,"")</f>
        <v/>
      </c>
      <c r="H44" s="192" t="str">
        <f ca="1">IF(Ruimtestaat!H44&gt;0,Schoonmaaknormen!BX44*calculatietarief,"")</f>
        <v/>
      </c>
      <c r="I44" s="193" t="str">
        <f ca="1">IF(Ruimtestaat!I44&gt;0,Schoonmaaknormen!BY44*calculatietarief,"")</f>
        <v/>
      </c>
      <c r="J44" s="193" t="str">
        <f ca="1">IF(Ruimtestaat!J44&gt;0,Schoonmaaknormen!BZ44*calculatietarief,"")</f>
        <v/>
      </c>
      <c r="K44" s="581" t="str">
        <f>IF(Ruimtestaat!K44&gt;0,Schoonmaaknormen!CA44*calculatietarief,"")</f>
        <v/>
      </c>
      <c r="L44" s="529"/>
      <c r="M44" s="172" t="b">
        <f>IF(_xlfn.XLOOKUP(Schoonmaaknormen!BB44,Tabel2[Locatiecode],Tabel2[Type locatie],"",0)="vaccin",TRUE,FALSE)</f>
        <v>0</v>
      </c>
    </row>
    <row r="45" spans="1:13" ht="15" customHeight="1" x14ac:dyDescent="0.2">
      <c r="A45" s="172">
        <f ca="1">Ruimtestaat!A45</f>
        <v>1</v>
      </c>
      <c r="B45" s="532" t="str">
        <f>Schoonmaaknormen!BB45</f>
        <v>ALK-ZEV</v>
      </c>
      <c r="C45" s="10">
        <v>255</v>
      </c>
      <c r="D45" s="190" t="str">
        <f ca="1">IF(Ruimtestaat!D45&gt;0,Schoonmaaknormen!BT45*calculatietarief,"")</f>
        <v/>
      </c>
      <c r="E45" s="191" t="str">
        <f ca="1">IF(Ruimtestaat!E45&gt;0,Schoonmaaknormen!BU45*calculatietarief,"")</f>
        <v/>
      </c>
      <c r="F45" s="192">
        <f ca="1">IF(Ruimtestaat!F45&gt;0,Schoonmaaknormen!BV45*calculatietarief,"")</f>
        <v>0</v>
      </c>
      <c r="G45" s="191">
        <f ca="1">IF(Ruimtestaat!G45&gt;0,Schoonmaaknormen!BW45*calculatietarief,"")</f>
        <v>0</v>
      </c>
      <c r="H45" s="191">
        <f ca="1">IF(Ruimtestaat!H45&gt;0,Schoonmaaknormen!BX45*calculatietarief,"")</f>
        <v>0</v>
      </c>
      <c r="I45" s="193">
        <f ca="1">IF(Ruimtestaat!I45&gt;0,Schoonmaaknormen!BY45*calculatietarief,"")</f>
        <v>0</v>
      </c>
      <c r="J45" s="193" t="str">
        <f ca="1">IF(Ruimtestaat!J45&gt;0,Schoonmaaknormen!BZ45*calculatietarief,"")</f>
        <v/>
      </c>
      <c r="K45" s="580" t="str">
        <f>IF(Schoonmaaknormen!K45&gt;0,Schoonmaaknormen!CA45*calculatietarief,"")</f>
        <v/>
      </c>
      <c r="L45" s="528">
        <f ca="1">SUM(D45:K50)</f>
        <v>0</v>
      </c>
      <c r="M45" s="172" t="b">
        <f>IF(_xlfn.XLOOKUP(Schoonmaaknormen!BB45,Tabel2[Locatiecode],Tabel2[Type locatie],"",0)="vaccin",TRUE,FALSE)</f>
        <v>0</v>
      </c>
    </row>
    <row r="46" spans="1:13" ht="0.2" customHeight="1" x14ac:dyDescent="0.2">
      <c r="A46" s="172">
        <f ca="1">Ruimtestaat!A46</f>
        <v>2</v>
      </c>
      <c r="B46" s="532"/>
      <c r="C46" s="10">
        <v>204</v>
      </c>
      <c r="D46" s="190" t="str">
        <f ca="1">IF(Ruimtestaat!D46&gt;0,Schoonmaaknormen!BT46*calculatietarief,"")</f>
        <v/>
      </c>
      <c r="E46" s="191" t="str">
        <f ca="1">IF(Ruimtestaat!E46&gt;0,Schoonmaaknormen!BU46*calculatietarief,"")</f>
        <v/>
      </c>
      <c r="F46" s="192" t="str">
        <f ca="1">IF(Ruimtestaat!F46&gt;0,Schoonmaaknormen!BV46*calculatietarief,"")</f>
        <v/>
      </c>
      <c r="G46" s="191" t="str">
        <f ca="1">IF(Ruimtestaat!G46&gt;0,Schoonmaaknormen!BW46*calculatietarief,"")</f>
        <v/>
      </c>
      <c r="H46" s="191" t="str">
        <f ca="1">IF(Ruimtestaat!H46&gt;0,Schoonmaaknormen!BX46*calculatietarief,"")</f>
        <v/>
      </c>
      <c r="I46" s="193" t="str">
        <f ca="1">IF(Ruimtestaat!I46&gt;0,Schoonmaaknormen!BY46*calculatietarief,"")</f>
        <v/>
      </c>
      <c r="J46" s="193" t="str">
        <f ca="1">IF(Ruimtestaat!J46&gt;0,Schoonmaaknormen!BZ46*calculatietarief,"")</f>
        <v/>
      </c>
      <c r="K46" s="580"/>
      <c r="L46" s="528"/>
      <c r="M46" s="172" t="b">
        <f>IF(_xlfn.XLOOKUP(Schoonmaaknormen!BB46,Tabel2[Locatiecode],Tabel2[Type locatie],"",0)="vaccin",TRUE,FALSE)</f>
        <v>0</v>
      </c>
    </row>
    <row r="47" spans="1:13" ht="0.2" customHeight="1" x14ac:dyDescent="0.2">
      <c r="A47" s="172">
        <f ca="1">Ruimtestaat!A47</f>
        <v>2</v>
      </c>
      <c r="B47" s="532"/>
      <c r="C47" s="10">
        <v>156</v>
      </c>
      <c r="D47" s="190" t="str">
        <f ca="1">IF(Ruimtestaat!D47&gt;0,Schoonmaaknormen!BT47*calculatietarief,"")</f>
        <v/>
      </c>
      <c r="E47" s="191" t="str">
        <f ca="1">IF(Ruimtestaat!E47&gt;0,Schoonmaaknormen!BU47*calculatietarief,"")</f>
        <v/>
      </c>
      <c r="F47" s="192" t="str">
        <f ca="1">IF(Ruimtestaat!F47&gt;0,Schoonmaaknormen!BV47*calculatietarief,"")</f>
        <v/>
      </c>
      <c r="G47" s="191" t="str">
        <f ca="1">IF(Ruimtestaat!G47&gt;0,Schoonmaaknormen!BW47*calculatietarief,"")</f>
        <v/>
      </c>
      <c r="H47" s="191" t="str">
        <f ca="1">IF(Ruimtestaat!H47&gt;0,Schoonmaaknormen!BX47*calculatietarief,"")</f>
        <v/>
      </c>
      <c r="I47" s="193" t="str">
        <f ca="1">IF(Ruimtestaat!I47&gt;0,Schoonmaaknormen!BY47*calculatietarief,"")</f>
        <v/>
      </c>
      <c r="J47" s="193" t="str">
        <f ca="1">IF(Ruimtestaat!J47&gt;0,Schoonmaaknormen!BZ47*calculatietarief,"")</f>
        <v/>
      </c>
      <c r="K47" s="580"/>
      <c r="L47" s="528"/>
      <c r="M47" s="172" t="b">
        <f>IF(_xlfn.XLOOKUP(Schoonmaaknormen!BB47,Tabel2[Locatiecode],Tabel2[Type locatie],"",0)="vaccin",TRUE,FALSE)</f>
        <v>0</v>
      </c>
    </row>
    <row r="48" spans="1:13" ht="0.2" customHeight="1" x14ac:dyDescent="0.2">
      <c r="A48" s="172">
        <f ca="1">Ruimtestaat!A48</f>
        <v>2</v>
      </c>
      <c r="B48" s="532"/>
      <c r="C48" s="10">
        <v>104</v>
      </c>
      <c r="D48" s="194" t="str">
        <f ca="1">IF(Ruimtestaat!D48&gt;0,Schoonmaaknormen!BT48*calculatietarief,"")</f>
        <v/>
      </c>
      <c r="E48" s="192" t="str">
        <f ca="1">IF(Ruimtestaat!E48&gt;0,Schoonmaaknormen!BU48*calculatietarief,"")</f>
        <v/>
      </c>
      <c r="F48" s="192" t="str">
        <f ca="1">IF(Ruimtestaat!F48&gt;0,Schoonmaaknormen!BV48*calculatietarief,"")</f>
        <v/>
      </c>
      <c r="G48" s="192" t="str">
        <f ca="1">IF(Ruimtestaat!G48&gt;0,Schoonmaaknormen!BW48*calculatietarief,"")</f>
        <v/>
      </c>
      <c r="H48" s="192" t="str">
        <f ca="1">IF(Ruimtestaat!H48&gt;0,Schoonmaaknormen!BX48*calculatietarief,"")</f>
        <v/>
      </c>
      <c r="I48" s="193" t="str">
        <f ca="1">IF(Ruimtestaat!I48&gt;0,Schoonmaaknormen!BY48*calculatietarief,"")</f>
        <v/>
      </c>
      <c r="J48" s="193" t="str">
        <f ca="1">IF(Ruimtestaat!J48&gt;0,Schoonmaaknormen!BZ48*calculatietarief,"")</f>
        <v/>
      </c>
      <c r="K48" s="581" t="str">
        <f>IF(Ruimtestaat!K47&gt;0,Schoonmaaknormen!CA48*calculatietarief,"")</f>
        <v/>
      </c>
      <c r="L48" s="529"/>
      <c r="M48" s="172" t="b">
        <f>IF(_xlfn.XLOOKUP(Schoonmaaknormen!BB48,Tabel2[Locatiecode],Tabel2[Type locatie],"",0)="vaccin",TRUE,FALSE)</f>
        <v>0</v>
      </c>
    </row>
    <row r="49" spans="1:13" ht="0.2" customHeight="1" x14ac:dyDescent="0.2">
      <c r="A49" s="172">
        <f ca="1">Ruimtestaat!A49</f>
        <v>2</v>
      </c>
      <c r="B49" s="532"/>
      <c r="C49" s="10">
        <v>52</v>
      </c>
      <c r="D49" s="194" t="str">
        <f ca="1">IF(Ruimtestaat!D49&gt;0,Schoonmaaknormen!BT49*calculatietarief,"")</f>
        <v/>
      </c>
      <c r="E49" s="192" t="str">
        <f ca="1">IF(Ruimtestaat!E49&gt;0,Schoonmaaknormen!BU49*calculatietarief,"")</f>
        <v/>
      </c>
      <c r="F49" s="192" t="str">
        <f ca="1">IF(Ruimtestaat!F49&gt;0,Schoonmaaknormen!BV49*calculatietarief,"")</f>
        <v/>
      </c>
      <c r="G49" s="192" t="str">
        <f ca="1">IF(Ruimtestaat!G49&gt;0,Schoonmaaknormen!BW49*calculatietarief,"")</f>
        <v/>
      </c>
      <c r="H49" s="192" t="str">
        <f ca="1">IF(Ruimtestaat!H49&gt;0,Schoonmaaknormen!BX49*calculatietarief,"")</f>
        <v/>
      </c>
      <c r="I49" s="193" t="str">
        <f ca="1">IF(Ruimtestaat!I49&gt;0,Schoonmaaknormen!BY49*calculatietarief,"")</f>
        <v/>
      </c>
      <c r="J49" s="193" t="str">
        <f ca="1">IF(Ruimtestaat!J49&gt;0,Schoonmaaknormen!BZ49*calculatietarief,"")</f>
        <v/>
      </c>
      <c r="K49" s="581"/>
      <c r="L49" s="529"/>
      <c r="M49" s="172" t="b">
        <f>IF(_xlfn.XLOOKUP(Schoonmaaknormen!BB49,Tabel2[Locatiecode],Tabel2[Type locatie],"",0)="vaccin",TRUE,FALSE)</f>
        <v>0</v>
      </c>
    </row>
    <row r="50" spans="1:13" ht="0.2" customHeight="1" x14ac:dyDescent="0.2">
      <c r="A50" s="172">
        <f ca="1">Ruimtestaat!A50</f>
        <v>2</v>
      </c>
      <c r="B50" s="532"/>
      <c r="C50" s="10">
        <v>4</v>
      </c>
      <c r="D50" s="194" t="str">
        <f ca="1">IF(Ruimtestaat!D50&gt;0,Schoonmaaknormen!BT50*calculatietarief,"")</f>
        <v/>
      </c>
      <c r="E50" s="192" t="str">
        <f ca="1">IF(Ruimtestaat!E50&gt;0,Schoonmaaknormen!BU50*calculatietarief,"")</f>
        <v/>
      </c>
      <c r="F50" s="192" t="str">
        <f ca="1">IF(Ruimtestaat!F50&gt;0,Schoonmaaknormen!BV50*calculatietarief,"")</f>
        <v/>
      </c>
      <c r="G50" s="192" t="str">
        <f ca="1">IF(Ruimtestaat!G50&gt;0,Schoonmaaknormen!BW50*calculatietarief,"")</f>
        <v/>
      </c>
      <c r="H50" s="192" t="str">
        <f ca="1">IF(Ruimtestaat!H50&gt;0,Schoonmaaknormen!BX50*calculatietarief,"")</f>
        <v/>
      </c>
      <c r="I50" s="193" t="str">
        <f ca="1">IF(Ruimtestaat!I50&gt;0,Schoonmaaknormen!BY50*calculatietarief,"")</f>
        <v/>
      </c>
      <c r="J50" s="193" t="str">
        <f ca="1">IF(Ruimtestaat!J50&gt;0,Schoonmaaknormen!BZ50*calculatietarief,"")</f>
        <v/>
      </c>
      <c r="K50" s="581" t="str">
        <f>IF(Ruimtestaat!K50&gt;0,Schoonmaaknormen!CA50*calculatietarief,"")</f>
        <v/>
      </c>
      <c r="L50" s="529"/>
      <c r="M50" s="172" t="b">
        <f>IF(_xlfn.XLOOKUP(Schoonmaaknormen!BB50,Tabel2[Locatiecode],Tabel2[Type locatie],"",0)="vaccin",TRUE,FALSE)</f>
        <v>0</v>
      </c>
    </row>
    <row r="51" spans="1:13" ht="15" customHeight="1" x14ac:dyDescent="0.2">
      <c r="A51" s="172">
        <f ca="1">Ruimtestaat!A51</f>
        <v>1</v>
      </c>
      <c r="B51" s="532" t="str">
        <f>Schoonmaaknormen!BB51</f>
        <v>ANP-DVW</v>
      </c>
      <c r="C51" s="10">
        <v>255</v>
      </c>
      <c r="D51" s="190">
        <f ca="1">IF(Ruimtestaat!D51&gt;0,Schoonmaaknormen!BT51*calculatietarief,"")</f>
        <v>0</v>
      </c>
      <c r="E51" s="191">
        <f ca="1">IF(Ruimtestaat!E51&gt;0,Schoonmaaknormen!BU51*calculatietarief,"")</f>
        <v>0</v>
      </c>
      <c r="F51" s="192">
        <f ca="1">IF(Ruimtestaat!F51&gt;0,Schoonmaaknormen!BV51*calculatietarief,"")</f>
        <v>0</v>
      </c>
      <c r="G51" s="191" t="str">
        <f ca="1">IF(Ruimtestaat!G51&gt;0,Schoonmaaknormen!BW51*calculatietarief,"")</f>
        <v/>
      </c>
      <c r="H51" s="191">
        <f ca="1">IF(Ruimtestaat!H51&gt;0,Schoonmaaknormen!BX51*calculatietarief,"")</f>
        <v>0</v>
      </c>
      <c r="I51" s="193">
        <f ca="1">IF(Ruimtestaat!I51&gt;0,Schoonmaaknormen!BY51*calculatietarief,"")</f>
        <v>0</v>
      </c>
      <c r="J51" s="193" t="str">
        <f ca="1">IF(Ruimtestaat!J51&gt;0,Schoonmaaknormen!BZ51*calculatietarief,"")</f>
        <v/>
      </c>
      <c r="K51" s="580" t="str">
        <f>IF(Schoonmaaknormen!K51&gt;0,Schoonmaaknormen!CA51*calculatietarief,"")</f>
        <v/>
      </c>
      <c r="L51" s="528">
        <f ca="1">SUM(D51:K56)</f>
        <v>0</v>
      </c>
      <c r="M51" s="172" t="b">
        <f>IF(_xlfn.XLOOKUP(Schoonmaaknormen!BB51,Tabel2[Locatiecode],Tabel2[Type locatie],"",0)="vaccin",TRUE,FALSE)</f>
        <v>0</v>
      </c>
    </row>
    <row r="52" spans="1:13" ht="0.2" customHeight="1" x14ac:dyDescent="0.2">
      <c r="A52" s="172">
        <f ca="1">Ruimtestaat!A52</f>
        <v>2</v>
      </c>
      <c r="B52" s="532"/>
      <c r="C52" s="10">
        <v>204</v>
      </c>
      <c r="D52" s="190" t="str">
        <f ca="1">IF(Ruimtestaat!D52&gt;0,Schoonmaaknormen!BT52*calculatietarief,"")</f>
        <v/>
      </c>
      <c r="E52" s="191" t="str">
        <f ca="1">IF(Ruimtestaat!E52&gt;0,Schoonmaaknormen!BU52*calculatietarief,"")</f>
        <v/>
      </c>
      <c r="F52" s="192" t="str">
        <f ca="1">IF(Ruimtestaat!F52&gt;0,Schoonmaaknormen!BV52*calculatietarief,"")</f>
        <v/>
      </c>
      <c r="G52" s="191" t="str">
        <f ca="1">IF(Ruimtestaat!G52&gt;0,Schoonmaaknormen!BW52*calculatietarief,"")</f>
        <v/>
      </c>
      <c r="H52" s="191" t="str">
        <f ca="1">IF(Ruimtestaat!H52&gt;0,Schoonmaaknormen!BX52*calculatietarief,"")</f>
        <v/>
      </c>
      <c r="I52" s="193" t="str">
        <f ca="1">IF(Ruimtestaat!I52&gt;0,Schoonmaaknormen!BY52*calculatietarief,"")</f>
        <v/>
      </c>
      <c r="J52" s="193" t="str">
        <f ca="1">IF(Ruimtestaat!J52&gt;0,Schoonmaaknormen!BZ52*calculatietarief,"")</f>
        <v/>
      </c>
      <c r="K52" s="580"/>
      <c r="L52" s="528"/>
      <c r="M52" s="172" t="b">
        <f>IF(_xlfn.XLOOKUP(Schoonmaaknormen!BB52,Tabel2[Locatiecode],Tabel2[Type locatie],"",0)="vaccin",TRUE,FALSE)</f>
        <v>0</v>
      </c>
    </row>
    <row r="53" spans="1:13" ht="0.2" customHeight="1" x14ac:dyDescent="0.2">
      <c r="A53" s="172">
        <f ca="1">Ruimtestaat!A53</f>
        <v>2</v>
      </c>
      <c r="B53" s="532"/>
      <c r="C53" s="10">
        <v>156</v>
      </c>
      <c r="D53" s="190" t="str">
        <f ca="1">IF(Ruimtestaat!D53&gt;0,Schoonmaaknormen!BT53*calculatietarief,"")</f>
        <v/>
      </c>
      <c r="E53" s="191" t="str">
        <f ca="1">IF(Ruimtestaat!E53&gt;0,Schoonmaaknormen!BU53*calculatietarief,"")</f>
        <v/>
      </c>
      <c r="F53" s="192" t="str">
        <f ca="1">IF(Ruimtestaat!F53&gt;0,Schoonmaaknormen!BV53*calculatietarief,"")</f>
        <v/>
      </c>
      <c r="G53" s="191" t="str">
        <f ca="1">IF(Ruimtestaat!G53&gt;0,Schoonmaaknormen!BW53*calculatietarief,"")</f>
        <v/>
      </c>
      <c r="H53" s="191" t="str">
        <f ca="1">IF(Ruimtestaat!H53&gt;0,Schoonmaaknormen!BX53*calculatietarief,"")</f>
        <v/>
      </c>
      <c r="I53" s="193" t="str">
        <f ca="1">IF(Ruimtestaat!I53&gt;0,Schoonmaaknormen!BY53*calculatietarief,"")</f>
        <v/>
      </c>
      <c r="J53" s="193" t="str">
        <f ca="1">IF(Ruimtestaat!J53&gt;0,Schoonmaaknormen!BZ53*calculatietarief,"")</f>
        <v/>
      </c>
      <c r="K53" s="580"/>
      <c r="L53" s="528"/>
      <c r="M53" s="172" t="b">
        <f>IF(_xlfn.XLOOKUP(Schoonmaaknormen!BB53,Tabel2[Locatiecode],Tabel2[Type locatie],"",0)="vaccin",TRUE,FALSE)</f>
        <v>0</v>
      </c>
    </row>
    <row r="54" spans="1:13" ht="0.2" customHeight="1" x14ac:dyDescent="0.2">
      <c r="A54" s="172">
        <f ca="1">Ruimtestaat!A54</f>
        <v>2</v>
      </c>
      <c r="B54" s="532"/>
      <c r="C54" s="10">
        <v>104</v>
      </c>
      <c r="D54" s="194" t="str">
        <f ca="1">IF(Ruimtestaat!D54&gt;0,Schoonmaaknormen!BT54*calculatietarief,"")</f>
        <v/>
      </c>
      <c r="E54" s="192" t="str">
        <f ca="1">IF(Ruimtestaat!E54&gt;0,Schoonmaaknormen!BU54*calculatietarief,"")</f>
        <v/>
      </c>
      <c r="F54" s="192" t="str">
        <f ca="1">IF(Ruimtestaat!F54&gt;0,Schoonmaaknormen!BV54*calculatietarief,"")</f>
        <v/>
      </c>
      <c r="G54" s="192" t="str">
        <f ca="1">IF(Ruimtestaat!G54&gt;0,Schoonmaaknormen!BW54*calculatietarief,"")</f>
        <v/>
      </c>
      <c r="H54" s="192" t="str">
        <f ca="1">IF(Ruimtestaat!H54&gt;0,Schoonmaaknormen!BX54*calculatietarief,"")</f>
        <v/>
      </c>
      <c r="I54" s="193" t="str">
        <f ca="1">IF(Ruimtestaat!I54&gt;0,Schoonmaaknormen!BY54*calculatietarief,"")</f>
        <v/>
      </c>
      <c r="J54" s="193" t="str">
        <f ca="1">IF(Ruimtestaat!J54&gt;0,Schoonmaaknormen!BZ54*calculatietarief,"")</f>
        <v/>
      </c>
      <c r="K54" s="581" t="str">
        <f>IF(Ruimtestaat!K53&gt;0,Schoonmaaknormen!CA54*calculatietarief,"")</f>
        <v/>
      </c>
      <c r="L54" s="529"/>
      <c r="M54" s="172" t="b">
        <f>IF(_xlfn.XLOOKUP(Schoonmaaknormen!BB54,Tabel2[Locatiecode],Tabel2[Type locatie],"",0)="vaccin",TRUE,FALSE)</f>
        <v>0</v>
      </c>
    </row>
    <row r="55" spans="1:13" ht="0.2" customHeight="1" x14ac:dyDescent="0.2">
      <c r="A55" s="172">
        <f ca="1">Ruimtestaat!A55</f>
        <v>2</v>
      </c>
      <c r="B55" s="532"/>
      <c r="C55" s="10">
        <v>52</v>
      </c>
      <c r="D55" s="194" t="str">
        <f ca="1">IF(Ruimtestaat!D55&gt;0,Schoonmaaknormen!BT55*calculatietarief,"")</f>
        <v/>
      </c>
      <c r="E55" s="192" t="str">
        <f ca="1">IF(Ruimtestaat!E55&gt;0,Schoonmaaknormen!BU55*calculatietarief,"")</f>
        <v/>
      </c>
      <c r="F55" s="192" t="str">
        <f ca="1">IF(Ruimtestaat!F55&gt;0,Schoonmaaknormen!BV55*calculatietarief,"")</f>
        <v/>
      </c>
      <c r="G55" s="192" t="str">
        <f ca="1">IF(Ruimtestaat!G55&gt;0,Schoonmaaknormen!BW55*calculatietarief,"")</f>
        <v/>
      </c>
      <c r="H55" s="192" t="str">
        <f ca="1">IF(Ruimtestaat!H55&gt;0,Schoonmaaknormen!BX55*calculatietarief,"")</f>
        <v/>
      </c>
      <c r="I55" s="193" t="str">
        <f ca="1">IF(Ruimtestaat!I55&gt;0,Schoonmaaknormen!BY55*calculatietarief,"")</f>
        <v/>
      </c>
      <c r="J55" s="193" t="str">
        <f ca="1">IF(Ruimtestaat!J55&gt;0,Schoonmaaknormen!BZ55*calculatietarief,"")</f>
        <v/>
      </c>
      <c r="K55" s="581"/>
      <c r="L55" s="529"/>
      <c r="M55" s="172" t="b">
        <f>IF(_xlfn.XLOOKUP(Schoonmaaknormen!BB55,Tabel2[Locatiecode],Tabel2[Type locatie],"",0)="vaccin",TRUE,FALSE)</f>
        <v>0</v>
      </c>
    </row>
    <row r="56" spans="1:13" ht="0.2" customHeight="1" x14ac:dyDescent="0.2">
      <c r="A56" s="172">
        <f ca="1">Ruimtestaat!A56</f>
        <v>2</v>
      </c>
      <c r="B56" s="532"/>
      <c r="C56" s="10">
        <v>4</v>
      </c>
      <c r="D56" s="194" t="str">
        <f ca="1">IF(Ruimtestaat!D56&gt;0,Schoonmaaknormen!BT56*calculatietarief,"")</f>
        <v/>
      </c>
      <c r="E56" s="192" t="str">
        <f ca="1">IF(Ruimtestaat!E56&gt;0,Schoonmaaknormen!BU56*calculatietarief,"")</f>
        <v/>
      </c>
      <c r="F56" s="192" t="str">
        <f ca="1">IF(Ruimtestaat!F56&gt;0,Schoonmaaknormen!BV56*calculatietarief,"")</f>
        <v/>
      </c>
      <c r="G56" s="192" t="str">
        <f ca="1">IF(Ruimtestaat!G56&gt;0,Schoonmaaknormen!BW56*calculatietarief,"")</f>
        <v/>
      </c>
      <c r="H56" s="192" t="str">
        <f ca="1">IF(Ruimtestaat!H56&gt;0,Schoonmaaknormen!BX56*calculatietarief,"")</f>
        <v/>
      </c>
      <c r="I56" s="193" t="str">
        <f ca="1">IF(Ruimtestaat!I56&gt;0,Schoonmaaknormen!BY56*calculatietarief,"")</f>
        <v/>
      </c>
      <c r="J56" s="193" t="str">
        <f ca="1">IF(Ruimtestaat!J56&gt;0,Schoonmaaknormen!BZ56*calculatietarief,"")</f>
        <v/>
      </c>
      <c r="K56" s="581" t="str">
        <f>IF(Ruimtestaat!K56&gt;0,Schoonmaaknormen!CA56*calculatietarief,"")</f>
        <v/>
      </c>
      <c r="L56" s="529"/>
      <c r="M56" s="172" t="b">
        <f>IF(_xlfn.XLOOKUP(Schoonmaaknormen!BB56,Tabel2[Locatiecode],Tabel2[Type locatie],"",0)="vaccin",TRUE,FALSE)</f>
        <v>0</v>
      </c>
    </row>
    <row r="57" spans="1:13" ht="15" customHeight="1" x14ac:dyDescent="0.2">
      <c r="A57" s="172">
        <f ca="1">Ruimtestaat!A57</f>
        <v>1</v>
      </c>
      <c r="B57" s="532" t="str">
        <f>Schoonmaaknormen!BB57</f>
        <v>BKS-RTH</v>
      </c>
      <c r="C57" s="10">
        <v>255</v>
      </c>
      <c r="D57" s="190">
        <f ca="1">IF(Ruimtestaat!D57&gt;0,Schoonmaaknormen!BT57*calculatietarief,"")</f>
        <v>0</v>
      </c>
      <c r="E57" s="191">
        <f ca="1">IF(Ruimtestaat!E57&gt;0,Schoonmaaknormen!BU57*calculatietarief,"")</f>
        <v>0</v>
      </c>
      <c r="F57" s="192">
        <f ca="1">IF(Ruimtestaat!F57&gt;0,Schoonmaaknormen!BV57*calculatietarief,"")</f>
        <v>0</v>
      </c>
      <c r="G57" s="191">
        <f ca="1">IF(Ruimtestaat!G57&gt;0,Schoonmaaknormen!BW57*calculatietarief,"")</f>
        <v>0</v>
      </c>
      <c r="H57" s="191">
        <f ca="1">IF(Ruimtestaat!H57&gt;0,Schoonmaaknormen!BX57*calculatietarief,"")</f>
        <v>0</v>
      </c>
      <c r="I57" s="193">
        <f ca="1">IF(Ruimtestaat!I57&gt;0,Schoonmaaknormen!BY57*calculatietarief,"")</f>
        <v>0</v>
      </c>
      <c r="J57" s="193" t="str">
        <f ca="1">IF(Ruimtestaat!J57&gt;0,Schoonmaaknormen!BZ57*calculatietarief,"")</f>
        <v/>
      </c>
      <c r="K57" s="580" t="str">
        <f>IF(Schoonmaaknormen!K57&gt;0,Schoonmaaknormen!CA57*calculatietarief,"")</f>
        <v/>
      </c>
      <c r="L57" s="528">
        <f ca="1">SUM(D57:K62)</f>
        <v>0</v>
      </c>
      <c r="M57" s="172" t="b">
        <f>IF(_xlfn.XLOOKUP(Schoonmaaknormen!BB57,Tabel2[Locatiecode],Tabel2[Type locatie],"",0)="vaccin",TRUE,FALSE)</f>
        <v>0</v>
      </c>
    </row>
    <row r="58" spans="1:13" ht="0.2" customHeight="1" x14ac:dyDescent="0.2">
      <c r="A58" s="172">
        <f ca="1">Ruimtestaat!A58</f>
        <v>2</v>
      </c>
      <c r="B58" s="532"/>
      <c r="C58" s="10">
        <v>204</v>
      </c>
      <c r="D58" s="190" t="str">
        <f ca="1">IF(Ruimtestaat!D58&gt;0,Schoonmaaknormen!BT58*calculatietarief,"")</f>
        <v/>
      </c>
      <c r="E58" s="191" t="str">
        <f ca="1">IF(Ruimtestaat!E58&gt;0,Schoonmaaknormen!BU58*calculatietarief,"")</f>
        <v/>
      </c>
      <c r="F58" s="192" t="str">
        <f ca="1">IF(Ruimtestaat!F58&gt;0,Schoonmaaknormen!BV58*calculatietarief,"")</f>
        <v/>
      </c>
      <c r="G58" s="191" t="str">
        <f ca="1">IF(Ruimtestaat!G58&gt;0,Schoonmaaknormen!BW58*calculatietarief,"")</f>
        <v/>
      </c>
      <c r="H58" s="191" t="str">
        <f ca="1">IF(Ruimtestaat!H58&gt;0,Schoonmaaknormen!BX58*calculatietarief,"")</f>
        <v/>
      </c>
      <c r="I58" s="193" t="str">
        <f ca="1">IF(Ruimtestaat!I58&gt;0,Schoonmaaknormen!BY58*calculatietarief,"")</f>
        <v/>
      </c>
      <c r="J58" s="193" t="str">
        <f ca="1">IF(Ruimtestaat!J58&gt;0,Schoonmaaknormen!BZ58*calculatietarief,"")</f>
        <v/>
      </c>
      <c r="K58" s="580"/>
      <c r="L58" s="528"/>
      <c r="M58" s="172" t="b">
        <f>IF(_xlfn.XLOOKUP(Schoonmaaknormen!BB58,Tabel2[Locatiecode],Tabel2[Type locatie],"",0)="vaccin",TRUE,FALSE)</f>
        <v>0</v>
      </c>
    </row>
    <row r="59" spans="1:13" ht="0.2" customHeight="1" x14ac:dyDescent="0.2">
      <c r="A59" s="172">
        <f ca="1">Ruimtestaat!A59</f>
        <v>2</v>
      </c>
      <c r="B59" s="532"/>
      <c r="C59" s="10">
        <v>156</v>
      </c>
      <c r="D59" s="190" t="str">
        <f ca="1">IF(Ruimtestaat!D59&gt;0,Schoonmaaknormen!BT59*calculatietarief,"")</f>
        <v/>
      </c>
      <c r="E59" s="191" t="str">
        <f ca="1">IF(Ruimtestaat!E59&gt;0,Schoonmaaknormen!BU59*calculatietarief,"")</f>
        <v/>
      </c>
      <c r="F59" s="192" t="str">
        <f ca="1">IF(Ruimtestaat!F59&gt;0,Schoonmaaknormen!BV59*calculatietarief,"")</f>
        <v/>
      </c>
      <c r="G59" s="191" t="str">
        <f ca="1">IF(Ruimtestaat!G59&gt;0,Schoonmaaknormen!BW59*calculatietarief,"")</f>
        <v/>
      </c>
      <c r="H59" s="191" t="str">
        <f ca="1">IF(Ruimtestaat!H59&gt;0,Schoonmaaknormen!BX59*calculatietarief,"")</f>
        <v/>
      </c>
      <c r="I59" s="193" t="str">
        <f ca="1">IF(Ruimtestaat!I59&gt;0,Schoonmaaknormen!BY59*calculatietarief,"")</f>
        <v/>
      </c>
      <c r="J59" s="193" t="str">
        <f ca="1">IF(Ruimtestaat!J59&gt;0,Schoonmaaknormen!BZ59*calculatietarief,"")</f>
        <v/>
      </c>
      <c r="K59" s="580"/>
      <c r="L59" s="528"/>
      <c r="M59" s="172" t="b">
        <f>IF(_xlfn.XLOOKUP(Schoonmaaknormen!BB59,Tabel2[Locatiecode],Tabel2[Type locatie],"",0)="vaccin",TRUE,FALSE)</f>
        <v>0</v>
      </c>
    </row>
    <row r="60" spans="1:13" ht="0.2" customHeight="1" x14ac:dyDescent="0.2">
      <c r="A60" s="172">
        <f ca="1">Ruimtestaat!A60</f>
        <v>2</v>
      </c>
      <c r="B60" s="532"/>
      <c r="C60" s="10">
        <v>104</v>
      </c>
      <c r="D60" s="194" t="str">
        <f ca="1">IF(Ruimtestaat!D60&gt;0,Schoonmaaknormen!BT60*calculatietarief,"")</f>
        <v/>
      </c>
      <c r="E60" s="192" t="str">
        <f ca="1">IF(Ruimtestaat!E60&gt;0,Schoonmaaknormen!BU60*calculatietarief,"")</f>
        <v/>
      </c>
      <c r="F60" s="192" t="str">
        <f ca="1">IF(Ruimtestaat!F60&gt;0,Schoonmaaknormen!BV60*calculatietarief,"")</f>
        <v/>
      </c>
      <c r="G60" s="192" t="str">
        <f ca="1">IF(Ruimtestaat!G60&gt;0,Schoonmaaknormen!BW60*calculatietarief,"")</f>
        <v/>
      </c>
      <c r="H60" s="192" t="str">
        <f ca="1">IF(Ruimtestaat!H60&gt;0,Schoonmaaknormen!BX60*calculatietarief,"")</f>
        <v/>
      </c>
      <c r="I60" s="193" t="str">
        <f ca="1">IF(Ruimtestaat!I60&gt;0,Schoonmaaknormen!BY60*calculatietarief,"")</f>
        <v/>
      </c>
      <c r="J60" s="193" t="str">
        <f ca="1">IF(Ruimtestaat!J60&gt;0,Schoonmaaknormen!BZ60*calculatietarief,"")</f>
        <v/>
      </c>
      <c r="K60" s="581" t="str">
        <f>IF(Ruimtestaat!K59&gt;0,Schoonmaaknormen!CA60*calculatietarief,"")</f>
        <v/>
      </c>
      <c r="L60" s="529"/>
      <c r="M60" s="172" t="b">
        <f>IF(_xlfn.XLOOKUP(Schoonmaaknormen!BB60,Tabel2[Locatiecode],Tabel2[Type locatie],"",0)="vaccin",TRUE,FALSE)</f>
        <v>0</v>
      </c>
    </row>
    <row r="61" spans="1:13" ht="0.2" customHeight="1" x14ac:dyDescent="0.2">
      <c r="A61" s="172">
        <f ca="1">Ruimtestaat!A61</f>
        <v>2</v>
      </c>
      <c r="B61" s="532"/>
      <c r="C61" s="10">
        <v>52</v>
      </c>
      <c r="D61" s="194" t="str">
        <f ca="1">IF(Ruimtestaat!D61&gt;0,Schoonmaaknormen!BT61*calculatietarief,"")</f>
        <v/>
      </c>
      <c r="E61" s="192" t="str">
        <f ca="1">IF(Ruimtestaat!E61&gt;0,Schoonmaaknormen!BU61*calculatietarief,"")</f>
        <v/>
      </c>
      <c r="F61" s="192" t="str">
        <f ca="1">IF(Ruimtestaat!F61&gt;0,Schoonmaaknormen!BV61*calculatietarief,"")</f>
        <v/>
      </c>
      <c r="G61" s="192" t="str">
        <f ca="1">IF(Ruimtestaat!G61&gt;0,Schoonmaaknormen!BW61*calculatietarief,"")</f>
        <v/>
      </c>
      <c r="H61" s="192" t="str">
        <f ca="1">IF(Ruimtestaat!H61&gt;0,Schoonmaaknormen!BX61*calculatietarief,"")</f>
        <v/>
      </c>
      <c r="I61" s="193" t="str">
        <f ca="1">IF(Ruimtestaat!I61&gt;0,Schoonmaaknormen!BY61*calculatietarief,"")</f>
        <v/>
      </c>
      <c r="J61" s="193" t="str">
        <f ca="1">IF(Ruimtestaat!J61&gt;0,Schoonmaaknormen!BZ61*calculatietarief,"")</f>
        <v/>
      </c>
      <c r="K61" s="581"/>
      <c r="L61" s="529"/>
      <c r="M61" s="172" t="b">
        <f>IF(_xlfn.XLOOKUP(Schoonmaaknormen!BB61,Tabel2[Locatiecode],Tabel2[Type locatie],"",0)="vaccin",TRUE,FALSE)</f>
        <v>0</v>
      </c>
    </row>
    <row r="62" spans="1:13" ht="0.2" customHeight="1" x14ac:dyDescent="0.2">
      <c r="A62" s="172">
        <f ca="1">Ruimtestaat!A62</f>
        <v>2</v>
      </c>
      <c r="B62" s="532"/>
      <c r="C62" s="10">
        <v>4</v>
      </c>
      <c r="D62" s="194" t="str">
        <f ca="1">IF(Ruimtestaat!D62&gt;0,Schoonmaaknormen!BT62*calculatietarief,"")</f>
        <v/>
      </c>
      <c r="E62" s="192" t="str">
        <f ca="1">IF(Ruimtestaat!E62&gt;0,Schoonmaaknormen!BU62*calculatietarief,"")</f>
        <v/>
      </c>
      <c r="F62" s="192" t="str">
        <f ca="1">IF(Ruimtestaat!F62&gt;0,Schoonmaaknormen!BV62*calculatietarief,"")</f>
        <v/>
      </c>
      <c r="G62" s="192" t="str">
        <f ca="1">IF(Ruimtestaat!G62&gt;0,Schoonmaaknormen!BW62*calculatietarief,"")</f>
        <v/>
      </c>
      <c r="H62" s="192" t="str">
        <f ca="1">IF(Ruimtestaat!H62&gt;0,Schoonmaaknormen!BX62*calculatietarief,"")</f>
        <v/>
      </c>
      <c r="I62" s="193" t="str">
        <f ca="1">IF(Ruimtestaat!I62&gt;0,Schoonmaaknormen!BY62*calculatietarief,"")</f>
        <v/>
      </c>
      <c r="J62" s="193" t="str">
        <f ca="1">IF(Ruimtestaat!J62&gt;0,Schoonmaaknormen!BZ62*calculatietarief,"")</f>
        <v/>
      </c>
      <c r="K62" s="581" t="str">
        <f>IF(Ruimtestaat!K62&gt;0,Schoonmaaknormen!CA62*calculatietarief,"")</f>
        <v/>
      </c>
      <c r="L62" s="529"/>
      <c r="M62" s="172" t="b">
        <f>IF(_xlfn.XLOOKUP(Schoonmaaknormen!BB62,Tabel2[Locatiecode],Tabel2[Type locatie],"",0)="vaccin",TRUE,FALSE)</f>
        <v>0</v>
      </c>
    </row>
    <row r="63" spans="1:13" ht="15" customHeight="1" x14ac:dyDescent="0.2">
      <c r="A63" s="172">
        <f ca="1">Ruimtestaat!A63</f>
        <v>1</v>
      </c>
      <c r="B63" s="532" t="str">
        <f>Schoonmaaknormen!BB63</f>
        <v>CST-GDW</v>
      </c>
      <c r="C63" s="10">
        <v>255</v>
      </c>
      <c r="D63" s="190">
        <f ca="1">IF(Ruimtestaat!D63&gt;0,Schoonmaaknormen!BT63*calculatietarief,"")</f>
        <v>0</v>
      </c>
      <c r="E63" s="191">
        <f ca="1">IF(Ruimtestaat!E63&gt;0,Schoonmaaknormen!BU63*calculatietarief,"")</f>
        <v>0</v>
      </c>
      <c r="F63" s="192">
        <f ca="1">IF(Ruimtestaat!F63&gt;0,Schoonmaaknormen!BV63*calculatietarief,"")</f>
        <v>0</v>
      </c>
      <c r="G63" s="191" t="str">
        <f ca="1">IF(Ruimtestaat!G63&gt;0,Schoonmaaknormen!BW63*calculatietarief,"")</f>
        <v/>
      </c>
      <c r="H63" s="191">
        <f ca="1">IF(Ruimtestaat!H63&gt;0,Schoonmaaknormen!BX63*calculatietarief,"")</f>
        <v>0</v>
      </c>
      <c r="I63" s="193">
        <f ca="1">IF(Ruimtestaat!I63&gt;0,Schoonmaaknormen!BY63*calculatietarief,"")</f>
        <v>0</v>
      </c>
      <c r="J63" s="193" t="str">
        <f ca="1">IF(Ruimtestaat!J63&gt;0,Schoonmaaknormen!BZ63*calculatietarief,"")</f>
        <v/>
      </c>
      <c r="K63" s="580" t="str">
        <f>IF(Schoonmaaknormen!K63&gt;0,Schoonmaaknormen!CA63*calculatietarief,"")</f>
        <v/>
      </c>
      <c r="L63" s="528">
        <f ca="1">SUM(D63:K68)</f>
        <v>0</v>
      </c>
      <c r="M63" s="172" t="b">
        <f>IF(_xlfn.XLOOKUP(Schoonmaaknormen!BB63,Tabel2[Locatiecode],Tabel2[Type locatie],"",0)="vaccin",TRUE,FALSE)</f>
        <v>0</v>
      </c>
    </row>
    <row r="64" spans="1:13" ht="0.2" customHeight="1" x14ac:dyDescent="0.2">
      <c r="A64" s="172">
        <f ca="1">Ruimtestaat!A64</f>
        <v>0</v>
      </c>
      <c r="B64" s="532"/>
      <c r="C64" s="10">
        <v>204</v>
      </c>
      <c r="D64" s="190" t="str">
        <f ca="1">IF(Ruimtestaat!D64&gt;0,Schoonmaaknormen!BT64*calculatietarief,"")</f>
        <v/>
      </c>
      <c r="E64" s="191" t="str">
        <f ca="1">IF(Ruimtestaat!E64&gt;0,Schoonmaaknormen!BU64*calculatietarief,"")</f>
        <v/>
      </c>
      <c r="F64" s="192" t="str">
        <f ca="1">IF(Ruimtestaat!F64&gt;0,Schoonmaaknormen!BV64*calculatietarief,"")</f>
        <v/>
      </c>
      <c r="G64" s="191" t="str">
        <f ca="1">IF(Ruimtestaat!G64&gt;0,Schoonmaaknormen!BW64*calculatietarief,"")</f>
        <v/>
      </c>
      <c r="H64" s="191" t="str">
        <f ca="1">IF(Ruimtestaat!H64&gt;0,Schoonmaaknormen!BX64*calculatietarief,"")</f>
        <v/>
      </c>
      <c r="I64" s="193" t="str">
        <f ca="1">IF(Ruimtestaat!I64&gt;0,Schoonmaaknormen!BY64*calculatietarief,"")</f>
        <v/>
      </c>
      <c r="J64" s="193" t="str">
        <f ca="1">IF(Ruimtestaat!J64&gt;0,Schoonmaaknormen!BZ64*calculatietarief,"")</f>
        <v/>
      </c>
      <c r="K64" s="580"/>
      <c r="L64" s="528"/>
      <c r="M64" s="172" t="b">
        <f>IF(_xlfn.XLOOKUP(Schoonmaaknormen!BB64,Tabel2[Locatiecode],Tabel2[Type locatie],"",0)="vaccin",TRUE,FALSE)</f>
        <v>0</v>
      </c>
    </row>
    <row r="65" spans="1:13" ht="0.2" customHeight="1" x14ac:dyDescent="0.2">
      <c r="A65" s="172">
        <f ca="1">Ruimtestaat!A65</f>
        <v>0</v>
      </c>
      <c r="B65" s="532"/>
      <c r="C65" s="10">
        <v>156</v>
      </c>
      <c r="D65" s="190" t="str">
        <f ca="1">IF(Ruimtestaat!D65&gt;0,Schoonmaaknormen!BT65*calculatietarief,"")</f>
        <v/>
      </c>
      <c r="E65" s="191" t="str">
        <f ca="1">IF(Ruimtestaat!E65&gt;0,Schoonmaaknormen!BU65*calculatietarief,"")</f>
        <v/>
      </c>
      <c r="F65" s="192" t="str">
        <f ca="1">IF(Ruimtestaat!F65&gt;0,Schoonmaaknormen!BV65*calculatietarief,"")</f>
        <v/>
      </c>
      <c r="G65" s="191" t="str">
        <f ca="1">IF(Ruimtestaat!G65&gt;0,Schoonmaaknormen!BW65*calculatietarief,"")</f>
        <v/>
      </c>
      <c r="H65" s="191" t="str">
        <f ca="1">IF(Ruimtestaat!H65&gt;0,Schoonmaaknormen!BX65*calculatietarief,"")</f>
        <v/>
      </c>
      <c r="I65" s="193" t="str">
        <f ca="1">IF(Ruimtestaat!I65&gt;0,Schoonmaaknormen!BY65*calculatietarief,"")</f>
        <v/>
      </c>
      <c r="J65" s="193" t="str">
        <f ca="1">IF(Ruimtestaat!J65&gt;0,Schoonmaaknormen!BZ65*calculatietarief,"")</f>
        <v/>
      </c>
      <c r="K65" s="580"/>
      <c r="L65" s="528"/>
      <c r="M65" s="172" t="b">
        <f>IF(_xlfn.XLOOKUP(Schoonmaaknormen!BB65,Tabel2[Locatiecode],Tabel2[Type locatie],"",0)="vaccin",TRUE,FALSE)</f>
        <v>0</v>
      </c>
    </row>
    <row r="66" spans="1:13" ht="0.2" customHeight="1" x14ac:dyDescent="0.2">
      <c r="A66" s="172">
        <f ca="1">Ruimtestaat!A66</f>
        <v>0</v>
      </c>
      <c r="B66" s="532"/>
      <c r="C66" s="10">
        <v>104</v>
      </c>
      <c r="D66" s="194" t="str">
        <f ca="1">IF(Ruimtestaat!D66&gt;0,Schoonmaaknormen!BT66*calculatietarief,"")</f>
        <v/>
      </c>
      <c r="E66" s="192" t="str">
        <f ca="1">IF(Ruimtestaat!E66&gt;0,Schoonmaaknormen!BU66*calculatietarief,"")</f>
        <v/>
      </c>
      <c r="F66" s="192" t="str">
        <f ca="1">IF(Ruimtestaat!F66&gt;0,Schoonmaaknormen!BV66*calculatietarief,"")</f>
        <v/>
      </c>
      <c r="G66" s="192" t="str">
        <f ca="1">IF(Ruimtestaat!G66&gt;0,Schoonmaaknormen!BW66*calculatietarief,"")</f>
        <v/>
      </c>
      <c r="H66" s="192" t="str">
        <f ca="1">IF(Ruimtestaat!H66&gt;0,Schoonmaaknormen!BX66*calculatietarief,"")</f>
        <v/>
      </c>
      <c r="I66" s="193" t="str">
        <f ca="1">IF(Ruimtestaat!I66&gt;0,Schoonmaaknormen!BY66*calculatietarief,"")</f>
        <v/>
      </c>
      <c r="J66" s="193" t="str">
        <f ca="1">IF(Ruimtestaat!J66&gt;0,Schoonmaaknormen!BZ66*calculatietarief,"")</f>
        <v/>
      </c>
      <c r="K66" s="581" t="str">
        <f>IF(Ruimtestaat!K65&gt;0,Schoonmaaknormen!CA66*calculatietarief,"")</f>
        <v/>
      </c>
      <c r="L66" s="529"/>
      <c r="M66" s="172" t="b">
        <f>IF(_xlfn.XLOOKUP(Schoonmaaknormen!BB66,Tabel2[Locatiecode],Tabel2[Type locatie],"",0)="vaccin",TRUE,FALSE)</f>
        <v>0</v>
      </c>
    </row>
    <row r="67" spans="1:13" ht="0.2" customHeight="1" x14ac:dyDescent="0.2">
      <c r="A67" s="172">
        <f ca="1">Ruimtestaat!A67</f>
        <v>0</v>
      </c>
      <c r="B67" s="532"/>
      <c r="C67" s="10">
        <v>52</v>
      </c>
      <c r="D67" s="194" t="str">
        <f ca="1">IF(Ruimtestaat!D67&gt;0,Schoonmaaknormen!BT67*calculatietarief,"")</f>
        <v/>
      </c>
      <c r="E67" s="192" t="str">
        <f ca="1">IF(Ruimtestaat!E67&gt;0,Schoonmaaknormen!BU67*calculatietarief,"")</f>
        <v/>
      </c>
      <c r="F67" s="192" t="str">
        <f ca="1">IF(Ruimtestaat!F67&gt;0,Schoonmaaknormen!BV67*calculatietarief,"")</f>
        <v/>
      </c>
      <c r="G67" s="192" t="str">
        <f ca="1">IF(Ruimtestaat!G67&gt;0,Schoonmaaknormen!BW67*calculatietarief,"")</f>
        <v/>
      </c>
      <c r="H67" s="192" t="str">
        <f ca="1">IF(Ruimtestaat!H67&gt;0,Schoonmaaknormen!BX67*calculatietarief,"")</f>
        <v/>
      </c>
      <c r="I67" s="193" t="str">
        <f ca="1">IF(Ruimtestaat!I67&gt;0,Schoonmaaknormen!BY67*calculatietarief,"")</f>
        <v/>
      </c>
      <c r="J67" s="193" t="str">
        <f ca="1">IF(Ruimtestaat!J67&gt;0,Schoonmaaknormen!BZ67*calculatietarief,"")</f>
        <v/>
      </c>
      <c r="K67" s="581"/>
      <c r="L67" s="529"/>
      <c r="M67" s="172" t="b">
        <f>IF(_xlfn.XLOOKUP(Schoonmaaknormen!BB67,Tabel2[Locatiecode],Tabel2[Type locatie],"",0)="vaccin",TRUE,FALSE)</f>
        <v>0</v>
      </c>
    </row>
    <row r="68" spans="1:13" ht="0.2" customHeight="1" x14ac:dyDescent="0.2">
      <c r="A68" s="172">
        <f ca="1">Ruimtestaat!A68</f>
        <v>2</v>
      </c>
      <c r="B68" s="532"/>
      <c r="C68" s="10">
        <v>4</v>
      </c>
      <c r="D68" s="194" t="str">
        <f ca="1">IF(Ruimtestaat!D68&gt;0,Schoonmaaknormen!BT68*calculatietarief,"")</f>
        <v/>
      </c>
      <c r="E68" s="192" t="str">
        <f ca="1">IF(Ruimtestaat!E68&gt;0,Schoonmaaknormen!BU68*calculatietarief,"")</f>
        <v/>
      </c>
      <c r="F68" s="192" t="str">
        <f ca="1">IF(Ruimtestaat!F68&gt;0,Schoonmaaknormen!BV68*calculatietarief,"")</f>
        <v/>
      </c>
      <c r="G68" s="192" t="str">
        <f ca="1">IF(Ruimtestaat!G68&gt;0,Schoonmaaknormen!BW68*calculatietarief,"")</f>
        <v/>
      </c>
      <c r="H68" s="192" t="str">
        <f ca="1">IF(Ruimtestaat!H68&gt;0,Schoonmaaknormen!BX68*calculatietarief,"")</f>
        <v/>
      </c>
      <c r="I68" s="193" t="str">
        <f ca="1">IF(Ruimtestaat!I68&gt;0,Schoonmaaknormen!BY68*calculatietarief,"")</f>
        <v/>
      </c>
      <c r="J68" s="193" t="str">
        <f ca="1">IF(Ruimtestaat!J68&gt;0,Schoonmaaknormen!BZ68*calculatietarief,"")</f>
        <v/>
      </c>
      <c r="K68" s="581" t="str">
        <f>IF(Ruimtestaat!K68&gt;0,Schoonmaaknormen!CA68*calculatietarief,"")</f>
        <v/>
      </c>
      <c r="L68" s="529"/>
      <c r="M68" s="172" t="b">
        <f>IF(_xlfn.XLOOKUP(Schoonmaaknormen!BB68,Tabel2[Locatiecode],Tabel2[Type locatie],"",0)="vaccin",TRUE,FALSE)</f>
        <v>0</v>
      </c>
    </row>
    <row r="69" spans="1:13" ht="15" customHeight="1" x14ac:dyDescent="0.2">
      <c r="A69" s="172">
        <f ca="1">Ruimtestaat!A69</f>
        <v>1</v>
      </c>
      <c r="B69" s="532" t="str">
        <f>Schoonmaaknormen!BB69</f>
        <v>DHE-BPL</v>
      </c>
      <c r="C69" s="10">
        <v>255</v>
      </c>
      <c r="D69" s="190">
        <f ca="1">IF(Ruimtestaat!D69&gt;0,Schoonmaaknormen!BT69*calculatietarief,"")</f>
        <v>0</v>
      </c>
      <c r="E69" s="191">
        <f ca="1">IF(Ruimtestaat!E69&gt;0,Schoonmaaknormen!BU69*calculatietarief,"")</f>
        <v>0</v>
      </c>
      <c r="F69" s="192">
        <f ca="1">IF(Ruimtestaat!F69&gt;0,Schoonmaaknormen!BV69*calculatietarief,"")</f>
        <v>0</v>
      </c>
      <c r="G69" s="191">
        <f ca="1">IF(Ruimtestaat!G69&gt;0,Schoonmaaknormen!BW69*calculatietarief,"")</f>
        <v>0</v>
      </c>
      <c r="H69" s="191">
        <f ca="1">IF(Ruimtestaat!H69&gt;0,Schoonmaaknormen!BX69*calculatietarief,"")</f>
        <v>0</v>
      </c>
      <c r="I69" s="193">
        <f ca="1">IF(Ruimtestaat!I69&gt;0,Schoonmaaknormen!BY69*calculatietarief,"")</f>
        <v>0</v>
      </c>
      <c r="J69" s="193" t="str">
        <f ca="1">IF(Ruimtestaat!J69&gt;0,Schoonmaaknormen!BZ69*calculatietarief,"")</f>
        <v/>
      </c>
      <c r="K69" s="580" t="str">
        <f>IF(Schoonmaaknormen!K69&gt;0,Schoonmaaknormen!CA69*calculatietarief,"")</f>
        <v/>
      </c>
      <c r="L69" s="528">
        <f ca="1">SUM(D69:K74)</f>
        <v>0</v>
      </c>
      <c r="M69" s="172" t="b">
        <f>IF(_xlfn.XLOOKUP(Schoonmaaknormen!BB69,Tabel2[Locatiecode],Tabel2[Type locatie],"",0)="vaccin",TRUE,FALSE)</f>
        <v>0</v>
      </c>
    </row>
    <row r="70" spans="1:13" ht="0.2" customHeight="1" x14ac:dyDescent="0.2">
      <c r="A70" s="172">
        <f ca="1">Ruimtestaat!A70</f>
        <v>2</v>
      </c>
      <c r="B70" s="532"/>
      <c r="C70" s="10">
        <v>204</v>
      </c>
      <c r="D70" s="190" t="str">
        <f ca="1">IF(Ruimtestaat!D70&gt;0,Schoonmaaknormen!BT70*calculatietarief,"")</f>
        <v/>
      </c>
      <c r="E70" s="191" t="str">
        <f ca="1">IF(Ruimtestaat!E70&gt;0,Schoonmaaknormen!BU70*calculatietarief,"")</f>
        <v/>
      </c>
      <c r="F70" s="192" t="str">
        <f ca="1">IF(Ruimtestaat!F70&gt;0,Schoonmaaknormen!BV70*calculatietarief,"")</f>
        <v/>
      </c>
      <c r="G70" s="191" t="str">
        <f ca="1">IF(Ruimtestaat!G70&gt;0,Schoonmaaknormen!BW70*calculatietarief,"")</f>
        <v/>
      </c>
      <c r="H70" s="191" t="str">
        <f ca="1">IF(Ruimtestaat!H70&gt;0,Schoonmaaknormen!BX70*calculatietarief,"")</f>
        <v/>
      </c>
      <c r="I70" s="193" t="str">
        <f ca="1">IF(Ruimtestaat!I70&gt;0,Schoonmaaknormen!BY70*calculatietarief,"")</f>
        <v/>
      </c>
      <c r="J70" s="193" t="str">
        <f ca="1">IF(Ruimtestaat!J70&gt;0,Schoonmaaknormen!BZ70*calculatietarief,"")</f>
        <v/>
      </c>
      <c r="K70" s="580"/>
      <c r="L70" s="528"/>
      <c r="M70" s="172" t="b">
        <f>IF(_xlfn.XLOOKUP(Schoonmaaknormen!BB70,Tabel2[Locatiecode],Tabel2[Type locatie],"",0)="vaccin",TRUE,FALSE)</f>
        <v>0</v>
      </c>
    </row>
    <row r="71" spans="1:13" ht="0.2" customHeight="1" x14ac:dyDescent="0.2">
      <c r="A71" s="172">
        <f ca="1">Ruimtestaat!A71</f>
        <v>2</v>
      </c>
      <c r="B71" s="532"/>
      <c r="C71" s="10">
        <v>156</v>
      </c>
      <c r="D71" s="190" t="str">
        <f ca="1">IF(Ruimtestaat!D71&gt;0,Schoonmaaknormen!BT71*calculatietarief,"")</f>
        <v/>
      </c>
      <c r="E71" s="191" t="str">
        <f ca="1">IF(Ruimtestaat!E71&gt;0,Schoonmaaknormen!BU71*calculatietarief,"")</f>
        <v/>
      </c>
      <c r="F71" s="192" t="str">
        <f ca="1">IF(Ruimtestaat!F71&gt;0,Schoonmaaknormen!BV71*calculatietarief,"")</f>
        <v/>
      </c>
      <c r="G71" s="191" t="str">
        <f ca="1">IF(Ruimtestaat!G71&gt;0,Schoonmaaknormen!BW71*calculatietarief,"")</f>
        <v/>
      </c>
      <c r="H71" s="191" t="str">
        <f ca="1">IF(Ruimtestaat!H71&gt;0,Schoonmaaknormen!BX71*calculatietarief,"")</f>
        <v/>
      </c>
      <c r="I71" s="193" t="str">
        <f ca="1">IF(Ruimtestaat!I71&gt;0,Schoonmaaknormen!BY71*calculatietarief,"")</f>
        <v/>
      </c>
      <c r="J71" s="193" t="str">
        <f ca="1">IF(Ruimtestaat!J71&gt;0,Schoonmaaknormen!BZ71*calculatietarief,"")</f>
        <v/>
      </c>
      <c r="K71" s="580"/>
      <c r="L71" s="528"/>
      <c r="M71" s="172" t="b">
        <f>IF(_xlfn.XLOOKUP(Schoonmaaknormen!BB71,Tabel2[Locatiecode],Tabel2[Type locatie],"",0)="vaccin",TRUE,FALSE)</f>
        <v>0</v>
      </c>
    </row>
    <row r="72" spans="1:13" ht="0.2" customHeight="1" x14ac:dyDescent="0.2">
      <c r="A72" s="172">
        <f ca="1">Ruimtestaat!A72</f>
        <v>2</v>
      </c>
      <c r="B72" s="532"/>
      <c r="C72" s="10">
        <v>104</v>
      </c>
      <c r="D72" s="194" t="str">
        <f ca="1">IF(Ruimtestaat!D72&gt;0,Schoonmaaknormen!BT72*calculatietarief,"")</f>
        <v/>
      </c>
      <c r="E72" s="192" t="str">
        <f ca="1">IF(Ruimtestaat!E72&gt;0,Schoonmaaknormen!BU72*calculatietarief,"")</f>
        <v/>
      </c>
      <c r="F72" s="192" t="str">
        <f ca="1">IF(Ruimtestaat!F72&gt;0,Schoonmaaknormen!BV72*calculatietarief,"")</f>
        <v/>
      </c>
      <c r="G72" s="192" t="str">
        <f ca="1">IF(Ruimtestaat!G72&gt;0,Schoonmaaknormen!BW72*calculatietarief,"")</f>
        <v/>
      </c>
      <c r="H72" s="192" t="str">
        <f ca="1">IF(Ruimtestaat!H72&gt;0,Schoonmaaknormen!BX72*calculatietarief,"")</f>
        <v/>
      </c>
      <c r="I72" s="193" t="str">
        <f ca="1">IF(Ruimtestaat!I72&gt;0,Schoonmaaknormen!BY72*calculatietarief,"")</f>
        <v/>
      </c>
      <c r="J72" s="193" t="str">
        <f ca="1">IF(Ruimtestaat!J72&gt;0,Schoonmaaknormen!BZ72*calculatietarief,"")</f>
        <v/>
      </c>
      <c r="K72" s="581" t="str">
        <f>IF(Ruimtestaat!K71&gt;0,Schoonmaaknormen!CA72*calculatietarief,"")</f>
        <v/>
      </c>
      <c r="L72" s="529"/>
      <c r="M72" s="172" t="b">
        <f>IF(_xlfn.XLOOKUP(Schoonmaaknormen!BB72,Tabel2[Locatiecode],Tabel2[Type locatie],"",0)="vaccin",TRUE,FALSE)</f>
        <v>0</v>
      </c>
    </row>
    <row r="73" spans="1:13" ht="0.2" customHeight="1" x14ac:dyDescent="0.2">
      <c r="A73" s="172">
        <f ca="1">Ruimtestaat!A73</f>
        <v>2</v>
      </c>
      <c r="B73" s="532"/>
      <c r="C73" s="10">
        <v>52</v>
      </c>
      <c r="D73" s="194" t="str">
        <f ca="1">IF(Ruimtestaat!D73&gt;0,Schoonmaaknormen!BT73*calculatietarief,"")</f>
        <v/>
      </c>
      <c r="E73" s="192" t="str">
        <f ca="1">IF(Ruimtestaat!E73&gt;0,Schoonmaaknormen!BU73*calculatietarief,"")</f>
        <v/>
      </c>
      <c r="F73" s="192" t="str">
        <f ca="1">IF(Ruimtestaat!F73&gt;0,Schoonmaaknormen!BV73*calculatietarief,"")</f>
        <v/>
      </c>
      <c r="G73" s="192" t="str">
        <f ca="1">IF(Ruimtestaat!G73&gt;0,Schoonmaaknormen!BW73*calculatietarief,"")</f>
        <v/>
      </c>
      <c r="H73" s="192" t="str">
        <f ca="1">IF(Ruimtestaat!H73&gt;0,Schoonmaaknormen!BX73*calculatietarief,"")</f>
        <v/>
      </c>
      <c r="I73" s="193" t="str">
        <f ca="1">IF(Ruimtestaat!I73&gt;0,Schoonmaaknormen!BY73*calculatietarief,"")</f>
        <v/>
      </c>
      <c r="J73" s="193" t="str">
        <f ca="1">IF(Ruimtestaat!J73&gt;0,Schoonmaaknormen!BZ73*calculatietarief,"")</f>
        <v/>
      </c>
      <c r="K73" s="581"/>
      <c r="L73" s="529"/>
      <c r="M73" s="172" t="b">
        <f>IF(_xlfn.XLOOKUP(Schoonmaaknormen!BB73,Tabel2[Locatiecode],Tabel2[Type locatie],"",0)="vaccin",TRUE,FALSE)</f>
        <v>0</v>
      </c>
    </row>
    <row r="74" spans="1:13" ht="0.2" customHeight="1" x14ac:dyDescent="0.2">
      <c r="A74" s="172">
        <f ca="1">Ruimtestaat!A74</f>
        <v>2</v>
      </c>
      <c r="B74" s="532"/>
      <c r="C74" s="10">
        <v>4</v>
      </c>
      <c r="D74" s="194" t="str">
        <f ca="1">IF(Ruimtestaat!D74&gt;0,Schoonmaaknormen!BT74*calculatietarief,"")</f>
        <v/>
      </c>
      <c r="E74" s="192" t="str">
        <f ca="1">IF(Ruimtestaat!E74&gt;0,Schoonmaaknormen!BU74*calculatietarief,"")</f>
        <v/>
      </c>
      <c r="F74" s="192" t="str">
        <f ca="1">IF(Ruimtestaat!F74&gt;0,Schoonmaaknormen!BV74*calculatietarief,"")</f>
        <v/>
      </c>
      <c r="G74" s="192" t="str">
        <f ca="1">IF(Ruimtestaat!G74&gt;0,Schoonmaaknormen!BW74*calculatietarief,"")</f>
        <v/>
      </c>
      <c r="H74" s="192" t="str">
        <f ca="1">IF(Ruimtestaat!H74&gt;0,Schoonmaaknormen!BX74*calculatietarief,"")</f>
        <v/>
      </c>
      <c r="I74" s="193" t="str">
        <f ca="1">IF(Ruimtestaat!I74&gt;0,Schoonmaaknormen!BY74*calculatietarief,"")</f>
        <v/>
      </c>
      <c r="J74" s="193" t="str">
        <f ca="1">IF(Ruimtestaat!J74&gt;0,Schoonmaaknormen!BZ74*calculatietarief,"")</f>
        <v/>
      </c>
      <c r="K74" s="581" t="str">
        <f>IF(Ruimtestaat!K74&gt;0,Schoonmaaknormen!CA74*calculatietarief,"")</f>
        <v/>
      </c>
      <c r="L74" s="529"/>
      <c r="M74" s="172" t="b">
        <f>IF(_xlfn.XLOOKUP(Schoonmaaknormen!BB74,Tabel2[Locatiecode],Tabel2[Type locatie],"",0)="vaccin",TRUE,FALSE)</f>
        <v>0</v>
      </c>
    </row>
    <row r="75" spans="1:13" ht="15" customHeight="1" x14ac:dyDescent="0.2">
      <c r="A75" s="172">
        <f ca="1">Ruimtestaat!A75</f>
        <v>1</v>
      </c>
      <c r="B75" s="532" t="str">
        <f>Schoonmaaknormen!BB75</f>
        <v>DHE-FBW</v>
      </c>
      <c r="C75" s="10">
        <v>255</v>
      </c>
      <c r="D75" s="190" t="str">
        <f ca="1">IF(Ruimtestaat!D75&gt;0,Schoonmaaknormen!BT75*calculatietarief,"")</f>
        <v/>
      </c>
      <c r="E75" s="191">
        <f ca="1">IF(Ruimtestaat!E75&gt;0,Schoonmaaknormen!BU75*calculatietarief,"")</f>
        <v>0</v>
      </c>
      <c r="F75" s="192" t="str">
        <f ca="1">IF(Ruimtestaat!F75&gt;0,Schoonmaaknormen!BV75*calculatietarief,"")</f>
        <v/>
      </c>
      <c r="G75" s="191">
        <f ca="1">IF(Ruimtestaat!G75&gt;0,Schoonmaaknormen!BW75*calculatietarief,"")</f>
        <v>0</v>
      </c>
      <c r="H75" s="191">
        <f ca="1">IF(Ruimtestaat!H75&gt;0,Schoonmaaknormen!BX75*calculatietarief,"")</f>
        <v>0</v>
      </c>
      <c r="I75" s="193">
        <f ca="1">IF(Ruimtestaat!I75&gt;0,Schoonmaaknormen!BY75*calculatietarief,"")</f>
        <v>0</v>
      </c>
      <c r="J75" s="193" t="str">
        <f ca="1">IF(Ruimtestaat!J75&gt;0,Schoonmaaknormen!BZ75*calculatietarief,"")</f>
        <v/>
      </c>
      <c r="K75" s="580" t="str">
        <f>IF(Schoonmaaknormen!K75&gt;0,Schoonmaaknormen!CA75*calculatietarief,"")</f>
        <v/>
      </c>
      <c r="L75" s="528">
        <f ca="1">SUM(D75:K80)</f>
        <v>0</v>
      </c>
      <c r="M75" s="172" t="b">
        <f>IF(_xlfn.XLOOKUP(Schoonmaaknormen!BB75,Tabel2[Locatiecode],Tabel2[Type locatie],"",0)="vaccin",TRUE,FALSE)</f>
        <v>1</v>
      </c>
    </row>
    <row r="76" spans="1:13" ht="0.2" customHeight="1" x14ac:dyDescent="0.2">
      <c r="A76" s="172">
        <f ca="1">Ruimtestaat!A76</f>
        <v>2</v>
      </c>
      <c r="B76" s="532"/>
      <c r="C76" s="10">
        <v>204</v>
      </c>
      <c r="D76" s="190" t="str">
        <f ca="1">IF(Ruimtestaat!D76&gt;0,Schoonmaaknormen!BT76*calculatietarief,"")</f>
        <v/>
      </c>
      <c r="E76" s="191" t="str">
        <f ca="1">IF(Ruimtestaat!E76&gt;0,Schoonmaaknormen!BU76*calculatietarief,"")</f>
        <v/>
      </c>
      <c r="F76" s="192" t="str">
        <f ca="1">IF(Ruimtestaat!F76&gt;0,Schoonmaaknormen!BV76*calculatietarief,"")</f>
        <v/>
      </c>
      <c r="G76" s="191" t="str">
        <f ca="1">IF(Ruimtestaat!G76&gt;0,Schoonmaaknormen!BW76*calculatietarief,"")</f>
        <v/>
      </c>
      <c r="H76" s="191" t="str">
        <f ca="1">IF(Ruimtestaat!H76&gt;0,Schoonmaaknormen!BX76*calculatietarief,"")</f>
        <v/>
      </c>
      <c r="I76" s="193" t="str">
        <f ca="1">IF(Ruimtestaat!I76&gt;0,Schoonmaaknormen!BY76*calculatietarief,"")</f>
        <v/>
      </c>
      <c r="J76" s="193" t="str">
        <f ca="1">IF(Ruimtestaat!J76&gt;0,Schoonmaaknormen!BZ76*calculatietarief,"")</f>
        <v/>
      </c>
      <c r="K76" s="580"/>
      <c r="L76" s="528"/>
      <c r="M76" s="172" t="b">
        <f>IF(_xlfn.XLOOKUP(Schoonmaaknormen!BB76,Tabel2[Locatiecode],Tabel2[Type locatie],"",0)="vaccin",TRUE,FALSE)</f>
        <v>1</v>
      </c>
    </row>
    <row r="77" spans="1:13" ht="0.2" customHeight="1" x14ac:dyDescent="0.2">
      <c r="A77" s="172">
        <f ca="1">Ruimtestaat!A77</f>
        <v>2</v>
      </c>
      <c r="B77" s="532"/>
      <c r="C77" s="10">
        <v>156</v>
      </c>
      <c r="D77" s="190" t="str">
        <f ca="1">IF(Ruimtestaat!D77&gt;0,Schoonmaaknormen!BT77*calculatietarief,"")</f>
        <v/>
      </c>
      <c r="E77" s="191" t="str">
        <f ca="1">IF(Ruimtestaat!E77&gt;0,Schoonmaaknormen!BU77*calculatietarief,"")</f>
        <v/>
      </c>
      <c r="F77" s="192" t="str">
        <f ca="1">IF(Ruimtestaat!F77&gt;0,Schoonmaaknormen!BV77*calculatietarief,"")</f>
        <v/>
      </c>
      <c r="G77" s="191" t="str">
        <f ca="1">IF(Ruimtestaat!G77&gt;0,Schoonmaaknormen!BW77*calculatietarief,"")</f>
        <v/>
      </c>
      <c r="H77" s="191" t="str">
        <f ca="1">IF(Ruimtestaat!H77&gt;0,Schoonmaaknormen!BX77*calculatietarief,"")</f>
        <v/>
      </c>
      <c r="I77" s="193" t="str">
        <f ca="1">IF(Ruimtestaat!I77&gt;0,Schoonmaaknormen!BY77*calculatietarief,"")</f>
        <v/>
      </c>
      <c r="J77" s="193" t="str">
        <f ca="1">IF(Ruimtestaat!J77&gt;0,Schoonmaaknormen!BZ77*calculatietarief,"")</f>
        <v/>
      </c>
      <c r="K77" s="580"/>
      <c r="L77" s="528"/>
      <c r="M77" s="172" t="b">
        <f>IF(_xlfn.XLOOKUP(Schoonmaaknormen!BB77,Tabel2[Locatiecode],Tabel2[Type locatie],"",0)="vaccin",TRUE,FALSE)</f>
        <v>1</v>
      </c>
    </row>
    <row r="78" spans="1:13" ht="0.2" customHeight="1" x14ac:dyDescent="0.2">
      <c r="A78" s="172">
        <f ca="1">Ruimtestaat!A78</f>
        <v>2</v>
      </c>
      <c r="B78" s="532"/>
      <c r="C78" s="10">
        <v>104</v>
      </c>
      <c r="D78" s="194" t="str">
        <f ca="1">IF(Ruimtestaat!D78&gt;0,Schoonmaaknormen!BT78*calculatietarief,"")</f>
        <v/>
      </c>
      <c r="E78" s="192" t="str">
        <f ca="1">IF(Ruimtestaat!E78&gt;0,Schoonmaaknormen!BU78*calculatietarief,"")</f>
        <v/>
      </c>
      <c r="F78" s="192" t="str">
        <f ca="1">IF(Ruimtestaat!F78&gt;0,Schoonmaaknormen!BV78*calculatietarief,"")</f>
        <v/>
      </c>
      <c r="G78" s="192" t="str">
        <f ca="1">IF(Ruimtestaat!G78&gt;0,Schoonmaaknormen!BW78*calculatietarief,"")</f>
        <v/>
      </c>
      <c r="H78" s="192" t="str">
        <f ca="1">IF(Ruimtestaat!H78&gt;0,Schoonmaaknormen!BX78*calculatietarief,"")</f>
        <v/>
      </c>
      <c r="I78" s="193" t="str">
        <f ca="1">IF(Ruimtestaat!I78&gt;0,Schoonmaaknormen!BY78*calculatietarief,"")</f>
        <v/>
      </c>
      <c r="J78" s="193" t="str">
        <f ca="1">IF(Ruimtestaat!J78&gt;0,Schoonmaaknormen!BZ78*calculatietarief,"")</f>
        <v/>
      </c>
      <c r="K78" s="581" t="str">
        <f>IF(Ruimtestaat!K77&gt;0,Schoonmaaknormen!CA78*calculatietarief,"")</f>
        <v/>
      </c>
      <c r="L78" s="529"/>
      <c r="M78" s="172" t="b">
        <f>IF(_xlfn.XLOOKUP(Schoonmaaknormen!BB78,Tabel2[Locatiecode],Tabel2[Type locatie],"",0)="vaccin",TRUE,FALSE)</f>
        <v>1</v>
      </c>
    </row>
    <row r="79" spans="1:13" ht="0.2" customHeight="1" x14ac:dyDescent="0.2">
      <c r="A79" s="172">
        <f ca="1">Ruimtestaat!A79</f>
        <v>2</v>
      </c>
      <c r="B79" s="532"/>
      <c r="C79" s="10">
        <v>52</v>
      </c>
      <c r="D79" s="194" t="str">
        <f ca="1">IF(Ruimtestaat!D79&gt;0,Schoonmaaknormen!BT79*calculatietarief,"")</f>
        <v/>
      </c>
      <c r="E79" s="192" t="str">
        <f ca="1">IF(Ruimtestaat!E79&gt;0,Schoonmaaknormen!BU79*calculatietarief,"")</f>
        <v/>
      </c>
      <c r="F79" s="192" t="str">
        <f ca="1">IF(Ruimtestaat!F79&gt;0,Schoonmaaknormen!BV79*calculatietarief,"")</f>
        <v/>
      </c>
      <c r="G79" s="192" t="str">
        <f ca="1">IF(Ruimtestaat!G79&gt;0,Schoonmaaknormen!BW79*calculatietarief,"")</f>
        <v/>
      </c>
      <c r="H79" s="192" t="str">
        <f ca="1">IF(Ruimtestaat!H79&gt;0,Schoonmaaknormen!BX79*calculatietarief,"")</f>
        <v/>
      </c>
      <c r="I79" s="193" t="str">
        <f ca="1">IF(Ruimtestaat!I79&gt;0,Schoonmaaknormen!BY79*calculatietarief,"")</f>
        <v/>
      </c>
      <c r="J79" s="193" t="str">
        <f ca="1">IF(Ruimtestaat!J79&gt;0,Schoonmaaknormen!BZ79*calculatietarief,"")</f>
        <v/>
      </c>
      <c r="K79" s="581"/>
      <c r="L79" s="529"/>
      <c r="M79" s="172" t="b">
        <f>IF(_xlfn.XLOOKUP(Schoonmaaknormen!BB79,Tabel2[Locatiecode],Tabel2[Type locatie],"",0)="vaccin",TRUE,FALSE)</f>
        <v>1</v>
      </c>
    </row>
    <row r="80" spans="1:13" ht="0.2" customHeight="1" x14ac:dyDescent="0.2">
      <c r="A80" s="172">
        <f ca="1">Ruimtestaat!A80</f>
        <v>2</v>
      </c>
      <c r="B80" s="532"/>
      <c r="C80" s="10">
        <v>4</v>
      </c>
      <c r="D80" s="194" t="str">
        <f ca="1">IF(Ruimtestaat!D80&gt;0,Schoonmaaknormen!BT80*calculatietarief,"")</f>
        <v/>
      </c>
      <c r="E80" s="192" t="str">
        <f ca="1">IF(Ruimtestaat!E80&gt;0,Schoonmaaknormen!BU80*calculatietarief,"")</f>
        <v/>
      </c>
      <c r="F80" s="192" t="str">
        <f ca="1">IF(Ruimtestaat!F80&gt;0,Schoonmaaknormen!BV80*calculatietarief,"")</f>
        <v/>
      </c>
      <c r="G80" s="192" t="str">
        <f ca="1">IF(Ruimtestaat!G80&gt;0,Schoonmaaknormen!BW80*calculatietarief,"")</f>
        <v/>
      </c>
      <c r="H80" s="192" t="str">
        <f ca="1">IF(Ruimtestaat!H80&gt;0,Schoonmaaknormen!BX80*calculatietarief,"")</f>
        <v/>
      </c>
      <c r="I80" s="193" t="str">
        <f ca="1">IF(Ruimtestaat!I80&gt;0,Schoonmaaknormen!BY80*calculatietarief,"")</f>
        <v/>
      </c>
      <c r="J80" s="193" t="str">
        <f ca="1">IF(Ruimtestaat!J80&gt;0,Schoonmaaknormen!BZ80*calculatietarief,"")</f>
        <v/>
      </c>
      <c r="K80" s="581" t="str">
        <f>IF(Ruimtestaat!K80&gt;0,Schoonmaaknormen!CA80*calculatietarief,"")</f>
        <v/>
      </c>
      <c r="L80" s="529"/>
      <c r="M80" s="172" t="b">
        <f>IF(_xlfn.XLOOKUP(Schoonmaaknormen!BB80,Tabel2[Locatiecode],Tabel2[Type locatie],"",0)="vaccin",TRUE,FALSE)</f>
        <v>1</v>
      </c>
    </row>
    <row r="81" spans="1:13" ht="15" customHeight="1" x14ac:dyDescent="0.2">
      <c r="A81" s="172">
        <f ca="1">Ruimtestaat!A81</f>
        <v>1</v>
      </c>
      <c r="B81" s="532" t="str">
        <f>Schoonmaaknormen!BB81</f>
        <v>DHE-TSL</v>
      </c>
      <c r="C81" s="10">
        <v>255</v>
      </c>
      <c r="D81" s="190">
        <f ca="1">IF(Ruimtestaat!D81&gt;0,Schoonmaaknormen!BT81*calculatietarief,"")</f>
        <v>0</v>
      </c>
      <c r="E81" s="191">
        <f ca="1">IF(Ruimtestaat!E81&gt;0,Schoonmaaknormen!BU81*calculatietarief,"")</f>
        <v>0</v>
      </c>
      <c r="F81" s="192">
        <f ca="1">IF(Ruimtestaat!F81&gt;0,Schoonmaaknormen!BV81*calculatietarief,"")</f>
        <v>0</v>
      </c>
      <c r="G81" s="191" t="str">
        <f ca="1">IF(Ruimtestaat!G81&gt;0,Schoonmaaknormen!BW81*calculatietarief,"")</f>
        <v/>
      </c>
      <c r="H81" s="191">
        <f ca="1">IF(Ruimtestaat!H81&gt;0,Schoonmaaknormen!BX81*calculatietarief,"")</f>
        <v>0</v>
      </c>
      <c r="I81" s="193">
        <f ca="1">IF(Ruimtestaat!I81&gt;0,Schoonmaaknormen!BY81*calculatietarief,"")</f>
        <v>0</v>
      </c>
      <c r="J81" s="193" t="str">
        <f ca="1">IF(Ruimtestaat!J81&gt;0,Schoonmaaknormen!BZ81*calculatietarief,"")</f>
        <v/>
      </c>
      <c r="K81" s="580" t="str">
        <f>IF(Schoonmaaknormen!K81&gt;0,Schoonmaaknormen!CA81*calculatietarief,"")</f>
        <v/>
      </c>
      <c r="L81" s="528">
        <f ca="1">SUM(D81:K86)</f>
        <v>0</v>
      </c>
      <c r="M81" s="172" t="b">
        <f>IF(_xlfn.XLOOKUP(Schoonmaaknormen!BB81,Tabel2[Locatiecode],Tabel2[Type locatie],"",0)="vaccin",TRUE,FALSE)</f>
        <v>0</v>
      </c>
    </row>
    <row r="82" spans="1:13" ht="0.2" customHeight="1" x14ac:dyDescent="0.2">
      <c r="A82" s="172">
        <f ca="1">Ruimtestaat!A82</f>
        <v>2</v>
      </c>
      <c r="B82" s="532"/>
      <c r="C82" s="10">
        <v>204</v>
      </c>
      <c r="D82" s="190" t="str">
        <f ca="1">IF(Ruimtestaat!D82&gt;0,Schoonmaaknormen!BT82*calculatietarief,"")</f>
        <v/>
      </c>
      <c r="E82" s="191" t="str">
        <f ca="1">IF(Ruimtestaat!E82&gt;0,Schoonmaaknormen!BU82*calculatietarief,"")</f>
        <v/>
      </c>
      <c r="F82" s="192" t="str">
        <f ca="1">IF(Ruimtestaat!F82&gt;0,Schoonmaaknormen!BV82*calculatietarief,"")</f>
        <v/>
      </c>
      <c r="G82" s="191" t="str">
        <f ca="1">IF(Ruimtestaat!G82&gt;0,Schoonmaaknormen!BW82*calculatietarief,"")</f>
        <v/>
      </c>
      <c r="H82" s="191" t="str">
        <f ca="1">IF(Ruimtestaat!H82&gt;0,Schoonmaaknormen!BX82*calculatietarief,"")</f>
        <v/>
      </c>
      <c r="I82" s="193" t="str">
        <f ca="1">IF(Ruimtestaat!I82&gt;0,Schoonmaaknormen!BY82*calculatietarief,"")</f>
        <v/>
      </c>
      <c r="J82" s="193" t="str">
        <f ca="1">IF(Ruimtestaat!J82&gt;0,Schoonmaaknormen!BZ82*calculatietarief,"")</f>
        <v/>
      </c>
      <c r="K82" s="580"/>
      <c r="L82" s="528"/>
      <c r="M82" s="172" t="b">
        <f>IF(_xlfn.XLOOKUP(Schoonmaaknormen!BB82,Tabel2[Locatiecode],Tabel2[Type locatie],"",0)="vaccin",TRUE,FALSE)</f>
        <v>0</v>
      </c>
    </row>
    <row r="83" spans="1:13" ht="0.2" customHeight="1" x14ac:dyDescent="0.2">
      <c r="A83" s="172">
        <f ca="1">Ruimtestaat!A83</f>
        <v>2</v>
      </c>
      <c r="B83" s="532"/>
      <c r="C83" s="10">
        <v>156</v>
      </c>
      <c r="D83" s="190" t="str">
        <f ca="1">IF(Ruimtestaat!D83&gt;0,Schoonmaaknormen!BT83*calculatietarief,"")</f>
        <v/>
      </c>
      <c r="E83" s="191" t="str">
        <f ca="1">IF(Ruimtestaat!E83&gt;0,Schoonmaaknormen!BU83*calculatietarief,"")</f>
        <v/>
      </c>
      <c r="F83" s="192" t="str">
        <f ca="1">IF(Ruimtestaat!F83&gt;0,Schoonmaaknormen!BV83*calculatietarief,"")</f>
        <v/>
      </c>
      <c r="G83" s="191" t="str">
        <f ca="1">IF(Ruimtestaat!G83&gt;0,Schoonmaaknormen!BW83*calculatietarief,"")</f>
        <v/>
      </c>
      <c r="H83" s="191" t="str">
        <f ca="1">IF(Ruimtestaat!H83&gt;0,Schoonmaaknormen!BX83*calculatietarief,"")</f>
        <v/>
      </c>
      <c r="I83" s="193" t="str">
        <f ca="1">IF(Ruimtestaat!I83&gt;0,Schoonmaaknormen!BY83*calculatietarief,"")</f>
        <v/>
      </c>
      <c r="J83" s="193" t="str">
        <f ca="1">IF(Ruimtestaat!J83&gt;0,Schoonmaaknormen!BZ83*calculatietarief,"")</f>
        <v/>
      </c>
      <c r="K83" s="580"/>
      <c r="L83" s="528"/>
      <c r="M83" s="172" t="b">
        <f>IF(_xlfn.XLOOKUP(Schoonmaaknormen!BB83,Tabel2[Locatiecode],Tabel2[Type locatie],"",0)="vaccin",TRUE,FALSE)</f>
        <v>0</v>
      </c>
    </row>
    <row r="84" spans="1:13" ht="0.2" customHeight="1" x14ac:dyDescent="0.2">
      <c r="A84" s="172">
        <f ca="1">Ruimtestaat!A84</f>
        <v>2</v>
      </c>
      <c r="B84" s="532"/>
      <c r="C84" s="10">
        <v>104</v>
      </c>
      <c r="D84" s="194" t="str">
        <f ca="1">IF(Ruimtestaat!D84&gt;0,Schoonmaaknormen!BT84*calculatietarief,"")</f>
        <v/>
      </c>
      <c r="E84" s="192" t="str">
        <f ca="1">IF(Ruimtestaat!E84&gt;0,Schoonmaaknormen!BU84*calculatietarief,"")</f>
        <v/>
      </c>
      <c r="F84" s="192" t="str">
        <f ca="1">IF(Ruimtestaat!F84&gt;0,Schoonmaaknormen!BV84*calculatietarief,"")</f>
        <v/>
      </c>
      <c r="G84" s="192" t="str">
        <f ca="1">IF(Ruimtestaat!G84&gt;0,Schoonmaaknormen!BW84*calculatietarief,"")</f>
        <v/>
      </c>
      <c r="H84" s="192" t="str">
        <f ca="1">IF(Ruimtestaat!H84&gt;0,Schoonmaaknormen!BX84*calculatietarief,"")</f>
        <v/>
      </c>
      <c r="I84" s="193" t="str">
        <f ca="1">IF(Ruimtestaat!I84&gt;0,Schoonmaaknormen!BY84*calculatietarief,"")</f>
        <v/>
      </c>
      <c r="J84" s="193" t="str">
        <f ca="1">IF(Ruimtestaat!J84&gt;0,Schoonmaaknormen!BZ84*calculatietarief,"")</f>
        <v/>
      </c>
      <c r="K84" s="581" t="str">
        <f>IF(Ruimtestaat!K83&gt;0,Schoonmaaknormen!CA84*calculatietarief,"")</f>
        <v/>
      </c>
      <c r="L84" s="529"/>
      <c r="M84" s="172" t="b">
        <f>IF(_xlfn.XLOOKUP(Schoonmaaknormen!BB84,Tabel2[Locatiecode],Tabel2[Type locatie],"",0)="vaccin",TRUE,FALSE)</f>
        <v>0</v>
      </c>
    </row>
    <row r="85" spans="1:13" ht="0.2" customHeight="1" x14ac:dyDescent="0.2">
      <c r="A85" s="172">
        <f ca="1">Ruimtestaat!A85</f>
        <v>2</v>
      </c>
      <c r="B85" s="532"/>
      <c r="C85" s="10">
        <v>52</v>
      </c>
      <c r="D85" s="194" t="str">
        <f ca="1">IF(Ruimtestaat!D85&gt;0,Schoonmaaknormen!BT85*calculatietarief,"")</f>
        <v/>
      </c>
      <c r="E85" s="192" t="str">
        <f ca="1">IF(Ruimtestaat!E85&gt;0,Schoonmaaknormen!BU85*calculatietarief,"")</f>
        <v/>
      </c>
      <c r="F85" s="192" t="str">
        <f ca="1">IF(Ruimtestaat!F85&gt;0,Schoonmaaknormen!BV85*calculatietarief,"")</f>
        <v/>
      </c>
      <c r="G85" s="192" t="str">
        <f ca="1">IF(Ruimtestaat!G85&gt;0,Schoonmaaknormen!BW85*calculatietarief,"")</f>
        <v/>
      </c>
      <c r="H85" s="192" t="str">
        <f ca="1">IF(Ruimtestaat!H85&gt;0,Schoonmaaknormen!BX85*calculatietarief,"")</f>
        <v/>
      </c>
      <c r="I85" s="193" t="str">
        <f ca="1">IF(Ruimtestaat!I85&gt;0,Schoonmaaknormen!BY85*calculatietarief,"")</f>
        <v/>
      </c>
      <c r="J85" s="193" t="str">
        <f ca="1">IF(Ruimtestaat!J85&gt;0,Schoonmaaknormen!BZ85*calculatietarief,"")</f>
        <v/>
      </c>
      <c r="K85" s="581"/>
      <c r="L85" s="529"/>
      <c r="M85" s="172" t="b">
        <f>IF(_xlfn.XLOOKUP(Schoonmaaknormen!BB85,Tabel2[Locatiecode],Tabel2[Type locatie],"",0)="vaccin",TRUE,FALSE)</f>
        <v>0</v>
      </c>
    </row>
    <row r="86" spans="1:13" ht="0.2" customHeight="1" x14ac:dyDescent="0.2">
      <c r="A86" s="172">
        <f ca="1">Ruimtestaat!A86</f>
        <v>2</v>
      </c>
      <c r="B86" s="532"/>
      <c r="C86" s="10">
        <v>4</v>
      </c>
      <c r="D86" s="194" t="str">
        <f ca="1">IF(Ruimtestaat!D86&gt;0,Schoonmaaknormen!BT86*calculatietarief,"")</f>
        <v/>
      </c>
      <c r="E86" s="192" t="str">
        <f ca="1">IF(Ruimtestaat!E86&gt;0,Schoonmaaknormen!BU86*calculatietarief,"")</f>
        <v/>
      </c>
      <c r="F86" s="192" t="str">
        <f ca="1">IF(Ruimtestaat!F86&gt;0,Schoonmaaknormen!BV86*calculatietarief,"")</f>
        <v/>
      </c>
      <c r="G86" s="192" t="str">
        <f ca="1">IF(Ruimtestaat!G86&gt;0,Schoonmaaknormen!BW86*calculatietarief,"")</f>
        <v/>
      </c>
      <c r="H86" s="192" t="str">
        <f ca="1">IF(Ruimtestaat!H86&gt;0,Schoonmaaknormen!BX86*calculatietarief,"")</f>
        <v/>
      </c>
      <c r="I86" s="193" t="str">
        <f ca="1">IF(Ruimtestaat!I86&gt;0,Schoonmaaknormen!BY86*calculatietarief,"")</f>
        <v/>
      </c>
      <c r="J86" s="193" t="str">
        <f ca="1">IF(Ruimtestaat!J86&gt;0,Schoonmaaknormen!BZ86*calculatietarief,"")</f>
        <v/>
      </c>
      <c r="K86" s="581" t="str">
        <f>IF(Ruimtestaat!K86&gt;0,Schoonmaaknormen!CA86*calculatietarief,"")</f>
        <v/>
      </c>
      <c r="L86" s="529"/>
      <c r="M86" s="172" t="b">
        <f>IF(_xlfn.XLOOKUP(Schoonmaaknormen!BB86,Tabel2[Locatiecode],Tabel2[Type locatie],"",0)="vaccin",TRUE,FALSE)</f>
        <v>0</v>
      </c>
    </row>
    <row r="87" spans="1:13" ht="15" customHeight="1" x14ac:dyDescent="0.2">
      <c r="A87" s="172">
        <f ca="1">Ruimtestaat!A87</f>
        <v>1</v>
      </c>
      <c r="B87" s="532" t="str">
        <f>Schoonmaaknormen!BB87</f>
        <v>ENK-WWL</v>
      </c>
      <c r="C87" s="10">
        <v>255</v>
      </c>
      <c r="D87" s="190">
        <f ca="1">IF(Ruimtestaat!D87&gt;0,Schoonmaaknormen!BT87*calculatietarief,"")</f>
        <v>0</v>
      </c>
      <c r="E87" s="191">
        <f ca="1">IF(Ruimtestaat!E87&gt;0,Schoonmaaknormen!BU87*calculatietarief,"")</f>
        <v>0</v>
      </c>
      <c r="F87" s="192">
        <f ca="1">IF(Ruimtestaat!F87&gt;0,Schoonmaaknormen!BV87*calculatietarief,"")</f>
        <v>0</v>
      </c>
      <c r="G87" s="191" t="str">
        <f ca="1">IF(Ruimtestaat!G87&gt;0,Schoonmaaknormen!BW87*calculatietarief,"")</f>
        <v/>
      </c>
      <c r="H87" s="191">
        <f ca="1">IF(Ruimtestaat!H87&gt;0,Schoonmaaknormen!BX87*calculatietarief,"")</f>
        <v>0</v>
      </c>
      <c r="I87" s="193">
        <f ca="1">IF(Ruimtestaat!I87&gt;0,Schoonmaaknormen!BY87*calculatietarief,"")</f>
        <v>0</v>
      </c>
      <c r="J87" s="193" t="str">
        <f ca="1">IF(Ruimtestaat!J87&gt;0,Schoonmaaknormen!BZ87*calculatietarief,"")</f>
        <v/>
      </c>
      <c r="K87" s="580" t="str">
        <f>IF(Schoonmaaknormen!K87&gt;0,Schoonmaaknormen!CA87*calculatietarief,"")</f>
        <v/>
      </c>
      <c r="L87" s="528">
        <f ca="1">SUM(D87:K92)</f>
        <v>0</v>
      </c>
      <c r="M87" s="172" t="b">
        <f>IF(_xlfn.XLOOKUP(Schoonmaaknormen!BB87,Tabel2[Locatiecode],Tabel2[Type locatie],"",0)="vaccin",TRUE,FALSE)</f>
        <v>0</v>
      </c>
    </row>
    <row r="88" spans="1:13" ht="0.2" customHeight="1" x14ac:dyDescent="0.2">
      <c r="A88" s="172">
        <f ca="1">Ruimtestaat!A88</f>
        <v>2</v>
      </c>
      <c r="B88" s="532"/>
      <c r="C88" s="10">
        <v>204</v>
      </c>
      <c r="D88" s="190" t="str">
        <f ca="1">IF(Ruimtestaat!D88&gt;0,Schoonmaaknormen!BT88*calculatietarief,"")</f>
        <v/>
      </c>
      <c r="E88" s="191" t="str">
        <f ca="1">IF(Ruimtestaat!E88&gt;0,Schoonmaaknormen!BU88*calculatietarief,"")</f>
        <v/>
      </c>
      <c r="F88" s="192" t="str">
        <f ca="1">IF(Ruimtestaat!F88&gt;0,Schoonmaaknormen!BV88*calculatietarief,"")</f>
        <v/>
      </c>
      <c r="G88" s="191" t="str">
        <f ca="1">IF(Ruimtestaat!G88&gt;0,Schoonmaaknormen!BW88*calculatietarief,"")</f>
        <v/>
      </c>
      <c r="H88" s="191" t="str">
        <f ca="1">IF(Ruimtestaat!H88&gt;0,Schoonmaaknormen!BX88*calculatietarief,"")</f>
        <v/>
      </c>
      <c r="I88" s="193" t="str">
        <f ca="1">IF(Ruimtestaat!I88&gt;0,Schoonmaaknormen!BY88*calculatietarief,"")</f>
        <v/>
      </c>
      <c r="J88" s="193" t="str">
        <f ca="1">IF(Ruimtestaat!J88&gt;0,Schoonmaaknormen!BZ88*calculatietarief,"")</f>
        <v/>
      </c>
      <c r="K88" s="580"/>
      <c r="L88" s="528"/>
      <c r="M88" s="172" t="b">
        <f>IF(_xlfn.XLOOKUP(Schoonmaaknormen!BB88,Tabel2[Locatiecode],Tabel2[Type locatie],"",0)="vaccin",TRUE,FALSE)</f>
        <v>0</v>
      </c>
    </row>
    <row r="89" spans="1:13" ht="0.2" customHeight="1" x14ac:dyDescent="0.2">
      <c r="A89" s="172">
        <f ca="1">Ruimtestaat!A89</f>
        <v>2</v>
      </c>
      <c r="B89" s="532"/>
      <c r="C89" s="10">
        <v>156</v>
      </c>
      <c r="D89" s="190" t="str">
        <f ca="1">IF(Ruimtestaat!D89&gt;0,Schoonmaaknormen!BT89*calculatietarief,"")</f>
        <v/>
      </c>
      <c r="E89" s="191" t="str">
        <f ca="1">IF(Ruimtestaat!E89&gt;0,Schoonmaaknormen!BU89*calculatietarief,"")</f>
        <v/>
      </c>
      <c r="F89" s="192" t="str">
        <f ca="1">IF(Ruimtestaat!F89&gt;0,Schoonmaaknormen!BV89*calculatietarief,"")</f>
        <v/>
      </c>
      <c r="G89" s="191" t="str">
        <f ca="1">IF(Ruimtestaat!G89&gt;0,Schoonmaaknormen!BW89*calculatietarief,"")</f>
        <v/>
      </c>
      <c r="H89" s="191" t="str">
        <f ca="1">IF(Ruimtestaat!H89&gt;0,Schoonmaaknormen!BX89*calculatietarief,"")</f>
        <v/>
      </c>
      <c r="I89" s="193" t="str">
        <f ca="1">IF(Ruimtestaat!I89&gt;0,Schoonmaaknormen!BY89*calculatietarief,"")</f>
        <v/>
      </c>
      <c r="J89" s="193" t="str">
        <f ca="1">IF(Ruimtestaat!J89&gt;0,Schoonmaaknormen!BZ89*calculatietarief,"")</f>
        <v/>
      </c>
      <c r="K89" s="580"/>
      <c r="L89" s="528"/>
      <c r="M89" s="172" t="b">
        <f>IF(_xlfn.XLOOKUP(Schoonmaaknormen!BB89,Tabel2[Locatiecode],Tabel2[Type locatie],"",0)="vaccin",TRUE,FALSE)</f>
        <v>0</v>
      </c>
    </row>
    <row r="90" spans="1:13" ht="0.2" customHeight="1" x14ac:dyDescent="0.2">
      <c r="A90" s="172">
        <f ca="1">Ruimtestaat!A90</f>
        <v>2</v>
      </c>
      <c r="B90" s="532"/>
      <c r="C90" s="10">
        <v>104</v>
      </c>
      <c r="D90" s="194" t="str">
        <f ca="1">IF(Ruimtestaat!D90&gt;0,Schoonmaaknormen!BT90*calculatietarief,"")</f>
        <v/>
      </c>
      <c r="E90" s="192" t="str">
        <f ca="1">IF(Ruimtestaat!E90&gt;0,Schoonmaaknormen!BU90*calculatietarief,"")</f>
        <v/>
      </c>
      <c r="F90" s="192" t="str">
        <f ca="1">IF(Ruimtestaat!F90&gt;0,Schoonmaaknormen!BV90*calculatietarief,"")</f>
        <v/>
      </c>
      <c r="G90" s="192" t="str">
        <f ca="1">IF(Ruimtestaat!G90&gt;0,Schoonmaaknormen!BW90*calculatietarief,"")</f>
        <v/>
      </c>
      <c r="H90" s="192" t="str">
        <f ca="1">IF(Ruimtestaat!H90&gt;0,Schoonmaaknormen!BX90*calculatietarief,"")</f>
        <v/>
      </c>
      <c r="I90" s="193" t="str">
        <f ca="1">IF(Ruimtestaat!I90&gt;0,Schoonmaaknormen!BY90*calculatietarief,"")</f>
        <v/>
      </c>
      <c r="J90" s="193" t="str">
        <f ca="1">IF(Ruimtestaat!J90&gt;0,Schoonmaaknormen!BZ90*calculatietarief,"")</f>
        <v/>
      </c>
      <c r="K90" s="581" t="str">
        <f>IF(Ruimtestaat!K89&gt;0,Schoonmaaknormen!CA90*calculatietarief,"")</f>
        <v/>
      </c>
      <c r="L90" s="529"/>
      <c r="M90" s="172" t="b">
        <f>IF(_xlfn.XLOOKUP(Schoonmaaknormen!BB90,Tabel2[Locatiecode],Tabel2[Type locatie],"",0)="vaccin",TRUE,FALSE)</f>
        <v>0</v>
      </c>
    </row>
    <row r="91" spans="1:13" ht="0.2" customHeight="1" x14ac:dyDescent="0.2">
      <c r="A91" s="172">
        <f ca="1">Ruimtestaat!A91</f>
        <v>2</v>
      </c>
      <c r="B91" s="532"/>
      <c r="C91" s="10">
        <v>52</v>
      </c>
      <c r="D91" s="194" t="str">
        <f ca="1">IF(Ruimtestaat!D91&gt;0,Schoonmaaknormen!BT91*calculatietarief,"")</f>
        <v/>
      </c>
      <c r="E91" s="192" t="str">
        <f ca="1">IF(Ruimtestaat!E91&gt;0,Schoonmaaknormen!BU91*calculatietarief,"")</f>
        <v/>
      </c>
      <c r="F91" s="192" t="str">
        <f ca="1">IF(Ruimtestaat!F91&gt;0,Schoonmaaknormen!BV91*calculatietarief,"")</f>
        <v/>
      </c>
      <c r="G91" s="192" t="str">
        <f ca="1">IF(Ruimtestaat!G91&gt;0,Schoonmaaknormen!BW91*calculatietarief,"")</f>
        <v/>
      </c>
      <c r="H91" s="192" t="str">
        <f ca="1">IF(Ruimtestaat!H91&gt;0,Schoonmaaknormen!BX91*calculatietarief,"")</f>
        <v/>
      </c>
      <c r="I91" s="193" t="str">
        <f ca="1">IF(Ruimtestaat!I91&gt;0,Schoonmaaknormen!BY91*calculatietarief,"")</f>
        <v/>
      </c>
      <c r="J91" s="193" t="str">
        <f ca="1">IF(Ruimtestaat!J91&gt;0,Schoonmaaknormen!BZ91*calculatietarief,"")</f>
        <v/>
      </c>
      <c r="K91" s="581"/>
      <c r="L91" s="529"/>
      <c r="M91" s="172" t="b">
        <f>IF(_xlfn.XLOOKUP(Schoonmaaknormen!BB91,Tabel2[Locatiecode],Tabel2[Type locatie],"",0)="vaccin",TRUE,FALSE)</f>
        <v>0</v>
      </c>
    </row>
    <row r="92" spans="1:13" ht="0.2" customHeight="1" x14ac:dyDescent="0.2">
      <c r="A92" s="172">
        <f ca="1">Ruimtestaat!A92</f>
        <v>2</v>
      </c>
      <c r="B92" s="532"/>
      <c r="C92" s="10">
        <v>4</v>
      </c>
      <c r="D92" s="194" t="str">
        <f ca="1">IF(Ruimtestaat!D92&gt;0,Schoonmaaknormen!BT92*calculatietarief,"")</f>
        <v/>
      </c>
      <c r="E92" s="192" t="str">
        <f ca="1">IF(Ruimtestaat!E92&gt;0,Schoonmaaknormen!BU92*calculatietarief,"")</f>
        <v/>
      </c>
      <c r="F92" s="192" t="str">
        <f ca="1">IF(Ruimtestaat!F92&gt;0,Schoonmaaknormen!BV92*calculatietarief,"")</f>
        <v/>
      </c>
      <c r="G92" s="192" t="str">
        <f ca="1">IF(Ruimtestaat!G92&gt;0,Schoonmaaknormen!BW92*calculatietarief,"")</f>
        <v/>
      </c>
      <c r="H92" s="192" t="str">
        <f ca="1">IF(Ruimtestaat!H92&gt;0,Schoonmaaknormen!BX92*calculatietarief,"")</f>
        <v/>
      </c>
      <c r="I92" s="193" t="str">
        <f ca="1">IF(Ruimtestaat!I92&gt;0,Schoonmaaknormen!BY92*calculatietarief,"")</f>
        <v/>
      </c>
      <c r="J92" s="193" t="str">
        <f ca="1">IF(Ruimtestaat!J92&gt;0,Schoonmaaknormen!BZ92*calculatietarief,"")</f>
        <v/>
      </c>
      <c r="K92" s="581" t="str">
        <f>IF(Ruimtestaat!K92&gt;0,Schoonmaaknormen!CA92*calculatietarief,"")</f>
        <v/>
      </c>
      <c r="L92" s="529"/>
      <c r="M92" s="172" t="b">
        <f>IF(_xlfn.XLOOKUP(Schoonmaaknormen!BB92,Tabel2[Locatiecode],Tabel2[Type locatie],"",0)="vaccin",TRUE,FALSE)</f>
        <v>0</v>
      </c>
    </row>
    <row r="93" spans="1:13" ht="15" customHeight="1" x14ac:dyDescent="0.2">
      <c r="A93" s="172">
        <f ca="1">Ruimtestaat!A93</f>
        <v>1</v>
      </c>
      <c r="B93" s="532" t="str">
        <f>Schoonmaaknormen!BB93</f>
        <v>GRF-JPL</v>
      </c>
      <c r="C93" s="10">
        <v>255</v>
      </c>
      <c r="D93" s="190">
        <f ca="1">IF(Ruimtestaat!D93&gt;0,Schoonmaaknormen!BT93*calculatietarief,"")</f>
        <v>0</v>
      </c>
      <c r="E93" s="191" t="str">
        <f ca="1">IF(Ruimtestaat!E93&gt;0,Schoonmaaknormen!BU93*calculatietarief,"")</f>
        <v/>
      </c>
      <c r="F93" s="192">
        <f ca="1">IF(Ruimtestaat!F93&gt;0,Schoonmaaknormen!BV93*calculatietarief,"")</f>
        <v>0</v>
      </c>
      <c r="G93" s="191" t="str">
        <f ca="1">IF(Ruimtestaat!G93&gt;0,Schoonmaaknormen!BW93*calculatietarief,"")</f>
        <v/>
      </c>
      <c r="H93" s="191">
        <f ca="1">IF(Ruimtestaat!H93&gt;0,Schoonmaaknormen!BX93*calculatietarief,"")</f>
        <v>0</v>
      </c>
      <c r="I93" s="193">
        <f ca="1">IF(Ruimtestaat!I93&gt;0,Schoonmaaknormen!BY93*calculatietarief,"")</f>
        <v>0</v>
      </c>
      <c r="J93" s="193" t="str">
        <f ca="1">IF(Ruimtestaat!J93&gt;0,Schoonmaaknormen!BZ93*calculatietarief,"")</f>
        <v/>
      </c>
      <c r="K93" s="580" t="str">
        <f>IF(Schoonmaaknormen!K93&gt;0,Schoonmaaknormen!CA93*calculatietarief,"")</f>
        <v/>
      </c>
      <c r="L93" s="528">
        <f ca="1">SUM(D93:K98)</f>
        <v>0</v>
      </c>
      <c r="M93" s="172" t="b">
        <f>IF(_xlfn.XLOOKUP(Schoonmaaknormen!BB93,Tabel2[Locatiecode],Tabel2[Type locatie],"",0)="vaccin",TRUE,FALSE)</f>
        <v>0</v>
      </c>
    </row>
    <row r="94" spans="1:13" ht="0.2" customHeight="1" x14ac:dyDescent="0.2">
      <c r="A94" s="172">
        <f ca="1">Ruimtestaat!A94</f>
        <v>0</v>
      </c>
      <c r="B94" s="532"/>
      <c r="C94" s="10">
        <v>204</v>
      </c>
      <c r="D94" s="190" t="str">
        <f ca="1">IF(Ruimtestaat!D94&gt;0,Schoonmaaknormen!BT94*calculatietarief,"")</f>
        <v/>
      </c>
      <c r="E94" s="191" t="str">
        <f ca="1">IF(Ruimtestaat!E94&gt;0,Schoonmaaknormen!BU94*calculatietarief,"")</f>
        <v/>
      </c>
      <c r="F94" s="192" t="str">
        <f ca="1">IF(Ruimtestaat!F94&gt;0,Schoonmaaknormen!BV94*calculatietarief,"")</f>
        <v/>
      </c>
      <c r="G94" s="191" t="str">
        <f ca="1">IF(Ruimtestaat!G94&gt;0,Schoonmaaknormen!BW94*calculatietarief,"")</f>
        <v/>
      </c>
      <c r="H94" s="191" t="str">
        <f ca="1">IF(Ruimtestaat!H94&gt;0,Schoonmaaknormen!BX94*calculatietarief,"")</f>
        <v/>
      </c>
      <c r="I94" s="193" t="str">
        <f ca="1">IF(Ruimtestaat!I94&gt;0,Schoonmaaknormen!BY94*calculatietarief,"")</f>
        <v/>
      </c>
      <c r="J94" s="193" t="str">
        <f ca="1">IF(Ruimtestaat!J94&gt;0,Schoonmaaknormen!BZ94*calculatietarief,"")</f>
        <v/>
      </c>
      <c r="K94" s="580"/>
      <c r="L94" s="528"/>
      <c r="M94" s="172" t="b">
        <f>IF(_xlfn.XLOOKUP(Schoonmaaknormen!BB94,Tabel2[Locatiecode],Tabel2[Type locatie],"",0)="vaccin",TRUE,FALSE)</f>
        <v>0</v>
      </c>
    </row>
    <row r="95" spans="1:13" ht="0.2" customHeight="1" x14ac:dyDescent="0.2">
      <c r="A95" s="172">
        <f ca="1">Ruimtestaat!A95</f>
        <v>0</v>
      </c>
      <c r="B95" s="532"/>
      <c r="C95" s="10">
        <v>156</v>
      </c>
      <c r="D95" s="190" t="str">
        <f ca="1">IF(Ruimtestaat!D95&gt;0,Schoonmaaknormen!BT95*calculatietarief,"")</f>
        <v/>
      </c>
      <c r="E95" s="191" t="str">
        <f ca="1">IF(Ruimtestaat!E95&gt;0,Schoonmaaknormen!BU95*calculatietarief,"")</f>
        <v/>
      </c>
      <c r="F95" s="192" t="str">
        <f ca="1">IF(Ruimtestaat!F95&gt;0,Schoonmaaknormen!BV95*calculatietarief,"")</f>
        <v/>
      </c>
      <c r="G95" s="191" t="str">
        <f ca="1">IF(Ruimtestaat!G95&gt;0,Schoonmaaknormen!BW95*calculatietarief,"")</f>
        <v/>
      </c>
      <c r="H95" s="191" t="str">
        <f ca="1">IF(Ruimtestaat!H95&gt;0,Schoonmaaknormen!BX95*calculatietarief,"")</f>
        <v/>
      </c>
      <c r="I95" s="193" t="str">
        <f ca="1">IF(Ruimtestaat!I95&gt;0,Schoonmaaknormen!BY95*calculatietarief,"")</f>
        <v/>
      </c>
      <c r="J95" s="193" t="str">
        <f ca="1">IF(Ruimtestaat!J95&gt;0,Schoonmaaknormen!BZ95*calculatietarief,"")</f>
        <v/>
      </c>
      <c r="K95" s="580"/>
      <c r="L95" s="528"/>
      <c r="M95" s="172" t="b">
        <f>IF(_xlfn.XLOOKUP(Schoonmaaknormen!BB95,Tabel2[Locatiecode],Tabel2[Type locatie],"",0)="vaccin",TRUE,FALSE)</f>
        <v>0</v>
      </c>
    </row>
    <row r="96" spans="1:13" ht="0.2" customHeight="1" x14ac:dyDescent="0.2">
      <c r="A96" s="172">
        <f ca="1">Ruimtestaat!A96</f>
        <v>0</v>
      </c>
      <c r="B96" s="532"/>
      <c r="C96" s="10">
        <v>104</v>
      </c>
      <c r="D96" s="194" t="str">
        <f ca="1">IF(Ruimtestaat!D96&gt;0,Schoonmaaknormen!BT96*calculatietarief,"")</f>
        <v/>
      </c>
      <c r="E96" s="192" t="str">
        <f ca="1">IF(Ruimtestaat!E96&gt;0,Schoonmaaknormen!BU96*calculatietarief,"")</f>
        <v/>
      </c>
      <c r="F96" s="192" t="str">
        <f ca="1">IF(Ruimtestaat!F96&gt;0,Schoonmaaknormen!BV96*calculatietarief,"")</f>
        <v/>
      </c>
      <c r="G96" s="192" t="str">
        <f ca="1">IF(Ruimtestaat!G96&gt;0,Schoonmaaknormen!BW96*calculatietarief,"")</f>
        <v/>
      </c>
      <c r="H96" s="192" t="str">
        <f ca="1">IF(Ruimtestaat!H96&gt;0,Schoonmaaknormen!BX96*calculatietarief,"")</f>
        <v/>
      </c>
      <c r="I96" s="193" t="str">
        <f ca="1">IF(Ruimtestaat!I96&gt;0,Schoonmaaknormen!BY96*calculatietarief,"")</f>
        <v/>
      </c>
      <c r="J96" s="193" t="str">
        <f ca="1">IF(Ruimtestaat!J96&gt;0,Schoonmaaknormen!BZ96*calculatietarief,"")</f>
        <v/>
      </c>
      <c r="K96" s="581" t="str">
        <f>IF(Ruimtestaat!K95&gt;0,Schoonmaaknormen!CA96*calculatietarief,"")</f>
        <v/>
      </c>
      <c r="L96" s="529"/>
      <c r="M96" s="172" t="b">
        <f>IF(_xlfn.XLOOKUP(Schoonmaaknormen!BB96,Tabel2[Locatiecode],Tabel2[Type locatie],"",0)="vaccin",TRUE,FALSE)</f>
        <v>0</v>
      </c>
    </row>
    <row r="97" spans="1:13" ht="0.2" customHeight="1" x14ac:dyDescent="0.2">
      <c r="A97" s="172">
        <f ca="1">Ruimtestaat!A97</f>
        <v>0</v>
      </c>
      <c r="B97" s="532"/>
      <c r="C97" s="10">
        <v>52</v>
      </c>
      <c r="D97" s="194" t="str">
        <f ca="1">IF(Ruimtestaat!D97&gt;0,Schoonmaaknormen!BT97*calculatietarief,"")</f>
        <v/>
      </c>
      <c r="E97" s="192" t="str">
        <f ca="1">IF(Ruimtestaat!E97&gt;0,Schoonmaaknormen!BU97*calculatietarief,"")</f>
        <v/>
      </c>
      <c r="F97" s="192" t="str">
        <f ca="1">IF(Ruimtestaat!F97&gt;0,Schoonmaaknormen!BV97*calculatietarief,"")</f>
        <v/>
      </c>
      <c r="G97" s="192" t="str">
        <f ca="1">IF(Ruimtestaat!G97&gt;0,Schoonmaaknormen!BW97*calculatietarief,"")</f>
        <v/>
      </c>
      <c r="H97" s="192" t="str">
        <f ca="1">IF(Ruimtestaat!H97&gt;0,Schoonmaaknormen!BX97*calculatietarief,"")</f>
        <v/>
      </c>
      <c r="I97" s="193" t="str">
        <f ca="1">IF(Ruimtestaat!I97&gt;0,Schoonmaaknormen!BY97*calculatietarief,"")</f>
        <v/>
      </c>
      <c r="J97" s="193" t="str">
        <f ca="1">IF(Ruimtestaat!J97&gt;0,Schoonmaaknormen!BZ97*calculatietarief,"")</f>
        <v/>
      </c>
      <c r="K97" s="581"/>
      <c r="L97" s="529"/>
      <c r="M97" s="172" t="b">
        <f>IF(_xlfn.XLOOKUP(Schoonmaaknormen!BB97,Tabel2[Locatiecode],Tabel2[Type locatie],"",0)="vaccin",TRUE,FALSE)</f>
        <v>0</v>
      </c>
    </row>
    <row r="98" spans="1:13" ht="0.2" customHeight="1" x14ac:dyDescent="0.2">
      <c r="A98" s="172">
        <f ca="1">Ruimtestaat!A98</f>
        <v>2</v>
      </c>
      <c r="B98" s="532"/>
      <c r="C98" s="10">
        <v>4</v>
      </c>
      <c r="D98" s="194" t="str">
        <f ca="1">IF(Ruimtestaat!D98&gt;0,Schoonmaaknormen!BT98*calculatietarief,"")</f>
        <v/>
      </c>
      <c r="E98" s="192" t="str">
        <f ca="1">IF(Ruimtestaat!E98&gt;0,Schoonmaaknormen!BU98*calculatietarief,"")</f>
        <v/>
      </c>
      <c r="F98" s="192" t="str">
        <f ca="1">IF(Ruimtestaat!F98&gt;0,Schoonmaaknormen!BV98*calculatietarief,"")</f>
        <v/>
      </c>
      <c r="G98" s="192" t="str">
        <f ca="1">IF(Ruimtestaat!G98&gt;0,Schoonmaaknormen!BW98*calculatietarief,"")</f>
        <v/>
      </c>
      <c r="H98" s="192" t="str">
        <f ca="1">IF(Ruimtestaat!H98&gt;0,Schoonmaaknormen!BX98*calculatietarief,"")</f>
        <v/>
      </c>
      <c r="I98" s="193" t="str">
        <f ca="1">IF(Ruimtestaat!I98&gt;0,Schoonmaaknormen!BY98*calculatietarief,"")</f>
        <v/>
      </c>
      <c r="J98" s="193" t="str">
        <f ca="1">IF(Ruimtestaat!J98&gt;0,Schoonmaaknormen!BZ98*calculatietarief,"")</f>
        <v/>
      </c>
      <c r="K98" s="581" t="str">
        <f>IF(Ruimtestaat!K98&gt;0,Schoonmaaknormen!CA98*calculatietarief,"")</f>
        <v/>
      </c>
      <c r="L98" s="529"/>
      <c r="M98" s="172" t="b">
        <f>IF(_xlfn.XLOOKUP(Schoonmaaknormen!BB98,Tabel2[Locatiecode],Tabel2[Type locatie],"",0)="vaccin",TRUE,FALSE)</f>
        <v>0</v>
      </c>
    </row>
    <row r="99" spans="1:13" ht="15" customHeight="1" x14ac:dyDescent="0.2">
      <c r="A99" s="172">
        <f ca="1">Ruimtestaat!A99</f>
        <v>1</v>
      </c>
      <c r="B99" s="532" t="str">
        <f>Schoonmaaknormen!BB99</f>
        <v>HHW-PRH</v>
      </c>
      <c r="C99" s="10">
        <v>255</v>
      </c>
      <c r="D99" s="190">
        <f ca="1">IF(Ruimtestaat!D99&gt;0,Schoonmaaknormen!BT99*calculatietarief,"")</f>
        <v>0</v>
      </c>
      <c r="E99" s="191">
        <f ca="1">IF(Ruimtestaat!E99&gt;0,Schoonmaaknormen!BU99*calculatietarief,"")</f>
        <v>0</v>
      </c>
      <c r="F99" s="192">
        <f ca="1">IF(Ruimtestaat!F99&gt;0,Schoonmaaknormen!BV99*calculatietarief,"")</f>
        <v>0</v>
      </c>
      <c r="G99" s="191" t="str">
        <f ca="1">IF(Ruimtestaat!G99&gt;0,Schoonmaaknormen!BW99*calculatietarief,"")</f>
        <v/>
      </c>
      <c r="H99" s="191">
        <f ca="1">IF(Ruimtestaat!H99&gt;0,Schoonmaaknormen!BX99*calculatietarief,"")</f>
        <v>0</v>
      </c>
      <c r="I99" s="193">
        <f ca="1">IF(Ruimtestaat!I99&gt;0,Schoonmaaknormen!BY99*calculatietarief,"")</f>
        <v>0</v>
      </c>
      <c r="J99" s="193" t="str">
        <f ca="1">IF(Ruimtestaat!J99&gt;0,Schoonmaaknormen!BZ99*calculatietarief,"")</f>
        <v/>
      </c>
      <c r="K99" s="580" t="str">
        <f>IF(Schoonmaaknormen!K99&gt;0,Schoonmaaknormen!CA99*calculatietarief,"")</f>
        <v/>
      </c>
      <c r="L99" s="528">
        <f ca="1">SUM(D99:K104)</f>
        <v>0</v>
      </c>
      <c r="M99" s="172" t="b">
        <f>IF(_xlfn.XLOOKUP(Schoonmaaknormen!BB99,Tabel2[Locatiecode],Tabel2[Type locatie],"",0)="vaccin",TRUE,FALSE)</f>
        <v>0</v>
      </c>
    </row>
    <row r="100" spans="1:13" ht="0.2" customHeight="1" x14ac:dyDescent="0.2">
      <c r="A100" s="172">
        <f ca="1">Ruimtestaat!A100</f>
        <v>2</v>
      </c>
      <c r="B100" s="532"/>
      <c r="C100" s="10">
        <v>204</v>
      </c>
      <c r="D100" s="190" t="str">
        <f ca="1">IF(Ruimtestaat!D100&gt;0,Schoonmaaknormen!BT100*calculatietarief,"")</f>
        <v/>
      </c>
      <c r="E100" s="191" t="str">
        <f ca="1">IF(Ruimtestaat!E100&gt;0,Schoonmaaknormen!BU100*calculatietarief,"")</f>
        <v/>
      </c>
      <c r="F100" s="192" t="str">
        <f ca="1">IF(Ruimtestaat!F100&gt;0,Schoonmaaknormen!BV100*calculatietarief,"")</f>
        <v/>
      </c>
      <c r="G100" s="191" t="str">
        <f ca="1">IF(Ruimtestaat!G100&gt;0,Schoonmaaknormen!BW100*calculatietarief,"")</f>
        <v/>
      </c>
      <c r="H100" s="191" t="str">
        <f ca="1">IF(Ruimtestaat!H100&gt;0,Schoonmaaknormen!BX100*calculatietarief,"")</f>
        <v/>
      </c>
      <c r="I100" s="193" t="str">
        <f ca="1">IF(Ruimtestaat!I100&gt;0,Schoonmaaknormen!BY100*calculatietarief,"")</f>
        <v/>
      </c>
      <c r="J100" s="193" t="str">
        <f ca="1">IF(Ruimtestaat!J100&gt;0,Schoonmaaknormen!BZ100*calculatietarief,"")</f>
        <v/>
      </c>
      <c r="K100" s="580"/>
      <c r="L100" s="528"/>
      <c r="M100" s="172" t="b">
        <f>IF(_xlfn.XLOOKUP(Schoonmaaknormen!BB100,Tabel2[Locatiecode],Tabel2[Type locatie],"",0)="vaccin",TRUE,FALSE)</f>
        <v>0</v>
      </c>
    </row>
    <row r="101" spans="1:13" ht="0.2" customHeight="1" x14ac:dyDescent="0.2">
      <c r="A101" s="172">
        <f ca="1">Ruimtestaat!A101</f>
        <v>2</v>
      </c>
      <c r="B101" s="532"/>
      <c r="C101" s="10">
        <v>156</v>
      </c>
      <c r="D101" s="190" t="str">
        <f ca="1">IF(Ruimtestaat!D101&gt;0,Schoonmaaknormen!BT101*calculatietarief,"")</f>
        <v/>
      </c>
      <c r="E101" s="191" t="str">
        <f ca="1">IF(Ruimtestaat!E101&gt;0,Schoonmaaknormen!BU101*calculatietarief,"")</f>
        <v/>
      </c>
      <c r="F101" s="192" t="str">
        <f ca="1">IF(Ruimtestaat!F101&gt;0,Schoonmaaknormen!BV101*calculatietarief,"")</f>
        <v/>
      </c>
      <c r="G101" s="191" t="str">
        <f ca="1">IF(Ruimtestaat!G101&gt;0,Schoonmaaknormen!BW101*calculatietarief,"")</f>
        <v/>
      </c>
      <c r="H101" s="191" t="str">
        <f ca="1">IF(Ruimtestaat!H101&gt;0,Schoonmaaknormen!BX101*calculatietarief,"")</f>
        <v/>
      </c>
      <c r="I101" s="193" t="str">
        <f ca="1">IF(Ruimtestaat!I101&gt;0,Schoonmaaknormen!BY101*calculatietarief,"")</f>
        <v/>
      </c>
      <c r="J101" s="193" t="str">
        <f ca="1">IF(Ruimtestaat!J101&gt;0,Schoonmaaknormen!BZ101*calculatietarief,"")</f>
        <v/>
      </c>
      <c r="K101" s="580"/>
      <c r="L101" s="528"/>
      <c r="M101" s="172" t="b">
        <f>IF(_xlfn.XLOOKUP(Schoonmaaknormen!BB101,Tabel2[Locatiecode],Tabel2[Type locatie],"",0)="vaccin",TRUE,FALSE)</f>
        <v>0</v>
      </c>
    </row>
    <row r="102" spans="1:13" ht="0.2" customHeight="1" x14ac:dyDescent="0.2">
      <c r="A102" s="172">
        <f ca="1">Ruimtestaat!A102</f>
        <v>2</v>
      </c>
      <c r="B102" s="532"/>
      <c r="C102" s="10">
        <v>104</v>
      </c>
      <c r="D102" s="194" t="str">
        <f ca="1">IF(Ruimtestaat!D102&gt;0,Schoonmaaknormen!BT102*calculatietarief,"")</f>
        <v/>
      </c>
      <c r="E102" s="192" t="str">
        <f ca="1">IF(Ruimtestaat!E102&gt;0,Schoonmaaknormen!BU102*calculatietarief,"")</f>
        <v/>
      </c>
      <c r="F102" s="192" t="str">
        <f ca="1">IF(Ruimtestaat!F102&gt;0,Schoonmaaknormen!BV102*calculatietarief,"")</f>
        <v/>
      </c>
      <c r="G102" s="192" t="str">
        <f ca="1">IF(Ruimtestaat!G102&gt;0,Schoonmaaknormen!BW102*calculatietarief,"")</f>
        <v/>
      </c>
      <c r="H102" s="192" t="str">
        <f ca="1">IF(Ruimtestaat!H102&gt;0,Schoonmaaknormen!BX102*calculatietarief,"")</f>
        <v/>
      </c>
      <c r="I102" s="193" t="str">
        <f ca="1">IF(Ruimtestaat!I102&gt;0,Schoonmaaknormen!BY102*calculatietarief,"")</f>
        <v/>
      </c>
      <c r="J102" s="193" t="str">
        <f ca="1">IF(Ruimtestaat!J102&gt;0,Schoonmaaknormen!BZ102*calculatietarief,"")</f>
        <v/>
      </c>
      <c r="K102" s="581" t="str">
        <f>IF(Ruimtestaat!K101&gt;0,Schoonmaaknormen!CA102*calculatietarief,"")</f>
        <v/>
      </c>
      <c r="L102" s="529"/>
      <c r="M102" s="172" t="b">
        <f>IF(_xlfn.XLOOKUP(Schoonmaaknormen!BB102,Tabel2[Locatiecode],Tabel2[Type locatie],"",0)="vaccin",TRUE,FALSE)</f>
        <v>0</v>
      </c>
    </row>
    <row r="103" spans="1:13" ht="0.2" customHeight="1" x14ac:dyDescent="0.2">
      <c r="A103" s="172">
        <f ca="1">Ruimtestaat!A103</f>
        <v>2</v>
      </c>
      <c r="B103" s="532"/>
      <c r="C103" s="10">
        <v>52</v>
      </c>
      <c r="D103" s="194" t="str">
        <f ca="1">IF(Ruimtestaat!D103&gt;0,Schoonmaaknormen!BT103*calculatietarief,"")</f>
        <v/>
      </c>
      <c r="E103" s="192" t="str">
        <f ca="1">IF(Ruimtestaat!E103&gt;0,Schoonmaaknormen!BU103*calculatietarief,"")</f>
        <v/>
      </c>
      <c r="F103" s="192" t="str">
        <f ca="1">IF(Ruimtestaat!F103&gt;0,Schoonmaaknormen!BV103*calculatietarief,"")</f>
        <v/>
      </c>
      <c r="G103" s="192" t="str">
        <f ca="1">IF(Ruimtestaat!G103&gt;0,Schoonmaaknormen!BW103*calculatietarief,"")</f>
        <v/>
      </c>
      <c r="H103" s="192" t="str">
        <f ca="1">IF(Ruimtestaat!H103&gt;0,Schoonmaaknormen!BX103*calculatietarief,"")</f>
        <v/>
      </c>
      <c r="I103" s="193" t="str">
        <f ca="1">IF(Ruimtestaat!I103&gt;0,Schoonmaaknormen!BY103*calculatietarief,"")</f>
        <v/>
      </c>
      <c r="J103" s="193" t="str">
        <f ca="1">IF(Ruimtestaat!J103&gt;0,Schoonmaaknormen!BZ103*calculatietarief,"")</f>
        <v/>
      </c>
      <c r="K103" s="581"/>
      <c r="L103" s="529"/>
      <c r="M103" s="172" t="b">
        <f>IF(_xlfn.XLOOKUP(Schoonmaaknormen!BB103,Tabel2[Locatiecode],Tabel2[Type locatie],"",0)="vaccin",TRUE,FALSE)</f>
        <v>0</v>
      </c>
    </row>
    <row r="104" spans="1:13" ht="0.2" customHeight="1" x14ac:dyDescent="0.2">
      <c r="A104" s="172">
        <f ca="1">Ruimtestaat!A104</f>
        <v>2</v>
      </c>
      <c r="B104" s="532"/>
      <c r="C104" s="10">
        <v>4</v>
      </c>
      <c r="D104" s="194" t="str">
        <f ca="1">IF(Ruimtestaat!D104&gt;0,Schoonmaaknormen!BT104*calculatietarief,"")</f>
        <v/>
      </c>
      <c r="E104" s="192" t="str">
        <f ca="1">IF(Ruimtestaat!E104&gt;0,Schoonmaaknormen!BU104*calculatietarief,"")</f>
        <v/>
      </c>
      <c r="F104" s="192" t="str">
        <f ca="1">IF(Ruimtestaat!F104&gt;0,Schoonmaaknormen!BV104*calculatietarief,"")</f>
        <v/>
      </c>
      <c r="G104" s="192" t="str">
        <f ca="1">IF(Ruimtestaat!G104&gt;0,Schoonmaaknormen!BW104*calculatietarief,"")</f>
        <v/>
      </c>
      <c r="H104" s="192" t="str">
        <f ca="1">IF(Ruimtestaat!H104&gt;0,Schoonmaaknormen!BX104*calculatietarief,"")</f>
        <v/>
      </c>
      <c r="I104" s="193" t="str">
        <f ca="1">IF(Ruimtestaat!I104&gt;0,Schoonmaaknormen!BY104*calculatietarief,"")</f>
        <v/>
      </c>
      <c r="J104" s="193" t="str">
        <f ca="1">IF(Ruimtestaat!J104&gt;0,Schoonmaaknormen!BZ104*calculatietarief,"")</f>
        <v/>
      </c>
      <c r="K104" s="581" t="str">
        <f>IF(Ruimtestaat!K104&gt;0,Schoonmaaknormen!CA104*calculatietarief,"")</f>
        <v/>
      </c>
      <c r="L104" s="529"/>
      <c r="M104" s="172" t="b">
        <f>IF(_xlfn.XLOOKUP(Schoonmaaknormen!BB104,Tabel2[Locatiecode],Tabel2[Type locatie],"",0)="vaccin",TRUE,FALSE)</f>
        <v>0</v>
      </c>
    </row>
    <row r="105" spans="1:13" ht="15" customHeight="1" x14ac:dyDescent="0.2">
      <c r="A105" s="172">
        <f ca="1">Ruimtestaat!A105</f>
        <v>1</v>
      </c>
      <c r="B105" s="532" t="str">
        <f>Schoonmaaknormen!BB105</f>
        <v>HKS-ODN</v>
      </c>
      <c r="C105" s="10">
        <v>255</v>
      </c>
      <c r="D105" s="190">
        <f ca="1">IF(Ruimtestaat!D105&gt;0,Schoonmaaknormen!BT105*calculatietarief,"")</f>
        <v>0</v>
      </c>
      <c r="E105" s="191">
        <f ca="1">IF(Ruimtestaat!E105&gt;0,Schoonmaaknormen!BU105*calculatietarief,"")</f>
        <v>0</v>
      </c>
      <c r="F105" s="192">
        <f ca="1">IF(Ruimtestaat!F105&gt;0,Schoonmaaknormen!BV105*calculatietarief,"")</f>
        <v>0</v>
      </c>
      <c r="G105" s="191">
        <f ca="1">IF(Ruimtestaat!G105&gt;0,Schoonmaaknormen!BW105*calculatietarief,"")</f>
        <v>0</v>
      </c>
      <c r="H105" s="191">
        <f ca="1">IF(Ruimtestaat!H105&gt;0,Schoonmaaknormen!BX105*calculatietarief,"")</f>
        <v>0</v>
      </c>
      <c r="I105" s="193">
        <f ca="1">IF(Ruimtestaat!I105&gt;0,Schoonmaaknormen!BY105*calculatietarief,"")</f>
        <v>0</v>
      </c>
      <c r="J105" s="193" t="str">
        <f ca="1">IF(Ruimtestaat!J105&gt;0,Schoonmaaknormen!BZ105*calculatietarief,"")</f>
        <v/>
      </c>
      <c r="K105" s="580" t="str">
        <f>IF(Schoonmaaknormen!K105&gt;0,Schoonmaaknormen!CA105*calculatietarief,"")</f>
        <v/>
      </c>
      <c r="L105" s="528">
        <f ca="1">SUM(D105:K110)</f>
        <v>0</v>
      </c>
      <c r="M105" s="172" t="b">
        <f>IF(_xlfn.XLOOKUP(Schoonmaaknormen!BB105,Tabel2[Locatiecode],Tabel2[Type locatie],"",0)="vaccin",TRUE,FALSE)</f>
        <v>0</v>
      </c>
    </row>
    <row r="106" spans="1:13" ht="0.2" customHeight="1" x14ac:dyDescent="0.2">
      <c r="A106" s="172">
        <f ca="1">Ruimtestaat!A106</f>
        <v>2</v>
      </c>
      <c r="B106" s="532"/>
      <c r="C106" s="10">
        <v>204</v>
      </c>
      <c r="D106" s="190" t="str">
        <f ca="1">IF(Ruimtestaat!D106&gt;0,Schoonmaaknormen!BT106*calculatietarief,"")</f>
        <v/>
      </c>
      <c r="E106" s="191" t="str">
        <f ca="1">IF(Ruimtestaat!E106&gt;0,Schoonmaaknormen!BU106*calculatietarief,"")</f>
        <v/>
      </c>
      <c r="F106" s="192" t="str">
        <f ca="1">IF(Ruimtestaat!F106&gt;0,Schoonmaaknormen!BV106*calculatietarief,"")</f>
        <v/>
      </c>
      <c r="G106" s="191" t="str">
        <f ca="1">IF(Ruimtestaat!G106&gt;0,Schoonmaaknormen!BW106*calculatietarief,"")</f>
        <v/>
      </c>
      <c r="H106" s="191" t="str">
        <f ca="1">IF(Ruimtestaat!H106&gt;0,Schoonmaaknormen!BX106*calculatietarief,"")</f>
        <v/>
      </c>
      <c r="I106" s="193" t="str">
        <f ca="1">IF(Ruimtestaat!I106&gt;0,Schoonmaaknormen!BY106*calculatietarief,"")</f>
        <v/>
      </c>
      <c r="J106" s="193" t="str">
        <f ca="1">IF(Ruimtestaat!J106&gt;0,Schoonmaaknormen!BZ106*calculatietarief,"")</f>
        <v/>
      </c>
      <c r="K106" s="580"/>
      <c r="L106" s="528"/>
      <c r="M106" s="172" t="b">
        <f>IF(_xlfn.XLOOKUP(Schoonmaaknormen!BB106,Tabel2[Locatiecode],Tabel2[Type locatie],"",0)="vaccin",TRUE,FALSE)</f>
        <v>0</v>
      </c>
    </row>
    <row r="107" spans="1:13" ht="0.2" customHeight="1" x14ac:dyDescent="0.2">
      <c r="A107" s="172">
        <f ca="1">Ruimtestaat!A107</f>
        <v>2</v>
      </c>
      <c r="B107" s="532"/>
      <c r="C107" s="10">
        <v>156</v>
      </c>
      <c r="D107" s="190" t="str">
        <f ca="1">IF(Ruimtestaat!D107&gt;0,Schoonmaaknormen!BT107*calculatietarief,"")</f>
        <v/>
      </c>
      <c r="E107" s="191" t="str">
        <f ca="1">IF(Ruimtestaat!E107&gt;0,Schoonmaaknormen!BU107*calculatietarief,"")</f>
        <v/>
      </c>
      <c r="F107" s="192" t="str">
        <f ca="1">IF(Ruimtestaat!F107&gt;0,Schoonmaaknormen!BV107*calculatietarief,"")</f>
        <v/>
      </c>
      <c r="G107" s="191" t="str">
        <f ca="1">IF(Ruimtestaat!G107&gt;0,Schoonmaaknormen!BW107*calculatietarief,"")</f>
        <v/>
      </c>
      <c r="H107" s="191" t="str">
        <f ca="1">IF(Ruimtestaat!H107&gt;0,Schoonmaaknormen!BX107*calculatietarief,"")</f>
        <v/>
      </c>
      <c r="I107" s="193" t="str">
        <f ca="1">IF(Ruimtestaat!I107&gt;0,Schoonmaaknormen!BY107*calculatietarief,"")</f>
        <v/>
      </c>
      <c r="J107" s="193" t="str">
        <f ca="1">IF(Ruimtestaat!J107&gt;0,Schoonmaaknormen!BZ107*calculatietarief,"")</f>
        <v/>
      </c>
      <c r="K107" s="580"/>
      <c r="L107" s="528"/>
      <c r="M107" s="172" t="b">
        <f>IF(_xlfn.XLOOKUP(Schoonmaaknormen!BB107,Tabel2[Locatiecode],Tabel2[Type locatie],"",0)="vaccin",TRUE,FALSE)</f>
        <v>0</v>
      </c>
    </row>
    <row r="108" spans="1:13" ht="0.2" customHeight="1" x14ac:dyDescent="0.2">
      <c r="A108" s="172">
        <f ca="1">Ruimtestaat!A108</f>
        <v>2</v>
      </c>
      <c r="B108" s="532"/>
      <c r="C108" s="10">
        <v>104</v>
      </c>
      <c r="D108" s="194" t="str">
        <f ca="1">IF(Ruimtestaat!D108&gt;0,Schoonmaaknormen!BT108*calculatietarief,"")</f>
        <v/>
      </c>
      <c r="E108" s="192" t="str">
        <f ca="1">IF(Ruimtestaat!E108&gt;0,Schoonmaaknormen!BU108*calculatietarief,"")</f>
        <v/>
      </c>
      <c r="F108" s="192" t="str">
        <f ca="1">IF(Ruimtestaat!F108&gt;0,Schoonmaaknormen!BV108*calculatietarief,"")</f>
        <v/>
      </c>
      <c r="G108" s="192" t="str">
        <f ca="1">IF(Ruimtestaat!G108&gt;0,Schoonmaaknormen!BW108*calculatietarief,"")</f>
        <v/>
      </c>
      <c r="H108" s="192" t="str">
        <f ca="1">IF(Ruimtestaat!H108&gt;0,Schoonmaaknormen!BX108*calculatietarief,"")</f>
        <v/>
      </c>
      <c r="I108" s="193" t="str">
        <f ca="1">IF(Ruimtestaat!I108&gt;0,Schoonmaaknormen!BY108*calculatietarief,"")</f>
        <v/>
      </c>
      <c r="J108" s="193" t="str">
        <f ca="1">IF(Ruimtestaat!J108&gt;0,Schoonmaaknormen!BZ108*calculatietarief,"")</f>
        <v/>
      </c>
      <c r="K108" s="581" t="str">
        <f>IF(Ruimtestaat!K107&gt;0,Schoonmaaknormen!CA108*calculatietarief,"")</f>
        <v/>
      </c>
      <c r="L108" s="529"/>
      <c r="M108" s="172" t="b">
        <f>IF(_xlfn.XLOOKUP(Schoonmaaknormen!BB108,Tabel2[Locatiecode],Tabel2[Type locatie],"",0)="vaccin",TRUE,FALSE)</f>
        <v>0</v>
      </c>
    </row>
    <row r="109" spans="1:13" ht="0.2" customHeight="1" x14ac:dyDescent="0.2">
      <c r="A109" s="172">
        <f ca="1">Ruimtestaat!A109</f>
        <v>2</v>
      </c>
      <c r="B109" s="532"/>
      <c r="C109" s="10">
        <v>52</v>
      </c>
      <c r="D109" s="194" t="str">
        <f ca="1">IF(Ruimtestaat!D109&gt;0,Schoonmaaknormen!BT109*calculatietarief,"")</f>
        <v/>
      </c>
      <c r="E109" s="192" t="str">
        <f ca="1">IF(Ruimtestaat!E109&gt;0,Schoonmaaknormen!BU109*calculatietarief,"")</f>
        <v/>
      </c>
      <c r="F109" s="192" t="str">
        <f ca="1">IF(Ruimtestaat!F109&gt;0,Schoonmaaknormen!BV109*calculatietarief,"")</f>
        <v/>
      </c>
      <c r="G109" s="192" t="str">
        <f ca="1">IF(Ruimtestaat!G109&gt;0,Schoonmaaknormen!BW109*calculatietarief,"")</f>
        <v/>
      </c>
      <c r="H109" s="192" t="str">
        <f ca="1">IF(Ruimtestaat!H109&gt;0,Schoonmaaknormen!BX109*calculatietarief,"")</f>
        <v/>
      </c>
      <c r="I109" s="193" t="str">
        <f ca="1">IF(Ruimtestaat!I109&gt;0,Schoonmaaknormen!BY109*calculatietarief,"")</f>
        <v/>
      </c>
      <c r="J109" s="193" t="str">
        <f ca="1">IF(Ruimtestaat!J109&gt;0,Schoonmaaknormen!BZ109*calculatietarief,"")</f>
        <v/>
      </c>
      <c r="K109" s="581"/>
      <c r="L109" s="529"/>
      <c r="M109" s="172" t="b">
        <f>IF(_xlfn.XLOOKUP(Schoonmaaknormen!BB109,Tabel2[Locatiecode],Tabel2[Type locatie],"",0)="vaccin",TRUE,FALSE)</f>
        <v>0</v>
      </c>
    </row>
    <row r="110" spans="1:13" ht="0.2" customHeight="1" x14ac:dyDescent="0.2">
      <c r="A110" s="172">
        <f ca="1">Ruimtestaat!A110</f>
        <v>2</v>
      </c>
      <c r="B110" s="532"/>
      <c r="C110" s="10">
        <v>4</v>
      </c>
      <c r="D110" s="194" t="str">
        <f ca="1">IF(Ruimtestaat!D110&gt;0,Schoonmaaknormen!BT110*calculatietarief,"")</f>
        <v/>
      </c>
      <c r="E110" s="192" t="str">
        <f ca="1">IF(Ruimtestaat!E110&gt;0,Schoonmaaknormen!BU110*calculatietarief,"")</f>
        <v/>
      </c>
      <c r="F110" s="192" t="str">
        <f ca="1">IF(Ruimtestaat!F110&gt;0,Schoonmaaknormen!BV110*calculatietarief,"")</f>
        <v/>
      </c>
      <c r="G110" s="192" t="str">
        <f ca="1">IF(Ruimtestaat!G110&gt;0,Schoonmaaknormen!BW110*calculatietarief,"")</f>
        <v/>
      </c>
      <c r="H110" s="192" t="str">
        <f ca="1">IF(Ruimtestaat!H110&gt;0,Schoonmaaknormen!BX110*calculatietarief,"")</f>
        <v/>
      </c>
      <c r="I110" s="193" t="str">
        <f ca="1">IF(Ruimtestaat!I110&gt;0,Schoonmaaknormen!BY110*calculatietarief,"")</f>
        <v/>
      </c>
      <c r="J110" s="193" t="str">
        <f ca="1">IF(Ruimtestaat!J110&gt;0,Schoonmaaknormen!BZ110*calculatietarief,"")</f>
        <v/>
      </c>
      <c r="K110" s="581" t="str">
        <f>IF(Ruimtestaat!K110&gt;0,Schoonmaaknormen!CA110*calculatietarief,"")</f>
        <v/>
      </c>
      <c r="L110" s="529"/>
      <c r="M110" s="172" t="b">
        <f>IF(_xlfn.XLOOKUP(Schoonmaaknormen!BB110,Tabel2[Locatiecode],Tabel2[Type locatie],"",0)="vaccin",TRUE,FALSE)</f>
        <v>0</v>
      </c>
    </row>
    <row r="111" spans="1:13" ht="15" customHeight="1" x14ac:dyDescent="0.2">
      <c r="A111" s="172">
        <f ca="1">Ruimtestaat!A111</f>
        <v>1</v>
      </c>
      <c r="B111" s="532" t="str">
        <f>Schoonmaaknormen!BB111</f>
        <v>HLO-HLW</v>
      </c>
      <c r="C111" s="10">
        <v>255</v>
      </c>
      <c r="D111" s="190">
        <f ca="1">IF(Ruimtestaat!D111&gt;0,Schoonmaaknormen!BT111*calculatietarief,"")</f>
        <v>0</v>
      </c>
      <c r="E111" s="191">
        <f ca="1">IF(Ruimtestaat!E111&gt;0,Schoonmaaknormen!BU111*calculatietarief,"")</f>
        <v>0</v>
      </c>
      <c r="F111" s="192">
        <f ca="1">IF(Ruimtestaat!F111&gt;0,Schoonmaaknormen!BV111*calculatietarief,"")</f>
        <v>0</v>
      </c>
      <c r="G111" s="191">
        <f ca="1">IF(Ruimtestaat!G111&gt;0,Schoonmaaknormen!BW111*calculatietarief,"")</f>
        <v>0</v>
      </c>
      <c r="H111" s="191">
        <f ca="1">IF(Ruimtestaat!H111&gt;0,Schoonmaaknormen!BX111*calculatietarief,"")</f>
        <v>0</v>
      </c>
      <c r="I111" s="193">
        <f ca="1">IF(Ruimtestaat!I111&gt;0,Schoonmaaknormen!BY111*calculatietarief,"")</f>
        <v>0</v>
      </c>
      <c r="J111" s="193" t="str">
        <f ca="1">IF(Ruimtestaat!J111&gt;0,Schoonmaaknormen!BZ111*calculatietarief,"")</f>
        <v/>
      </c>
      <c r="K111" s="580" t="str">
        <f>IF(Schoonmaaknormen!K111&gt;0,Schoonmaaknormen!CA111*calculatietarief,"")</f>
        <v/>
      </c>
      <c r="L111" s="528">
        <f ca="1">SUM(D111:K116)</f>
        <v>0</v>
      </c>
      <c r="M111" s="172" t="b">
        <f>IF(_xlfn.XLOOKUP(Schoonmaaknormen!BB111,Tabel2[Locatiecode],Tabel2[Type locatie],"",0)="vaccin",TRUE,FALSE)</f>
        <v>0</v>
      </c>
    </row>
    <row r="112" spans="1:13" ht="0.2" customHeight="1" x14ac:dyDescent="0.2">
      <c r="A112" s="172">
        <f ca="1">Ruimtestaat!A112</f>
        <v>2</v>
      </c>
      <c r="B112" s="532"/>
      <c r="C112" s="10">
        <v>204</v>
      </c>
      <c r="D112" s="190" t="str">
        <f ca="1">IF(Ruimtestaat!D112&gt;0,Schoonmaaknormen!BT112*calculatietarief,"")</f>
        <v/>
      </c>
      <c r="E112" s="191" t="str">
        <f ca="1">IF(Ruimtestaat!E112&gt;0,Schoonmaaknormen!BU112*calculatietarief,"")</f>
        <v/>
      </c>
      <c r="F112" s="192" t="str">
        <f ca="1">IF(Ruimtestaat!F112&gt;0,Schoonmaaknormen!BV112*calculatietarief,"")</f>
        <v/>
      </c>
      <c r="G112" s="191" t="str">
        <f ca="1">IF(Ruimtestaat!G112&gt;0,Schoonmaaknormen!BW112*calculatietarief,"")</f>
        <v/>
      </c>
      <c r="H112" s="191" t="str">
        <f ca="1">IF(Ruimtestaat!H112&gt;0,Schoonmaaknormen!BX112*calculatietarief,"")</f>
        <v/>
      </c>
      <c r="I112" s="193" t="str">
        <f ca="1">IF(Ruimtestaat!I112&gt;0,Schoonmaaknormen!BY112*calculatietarief,"")</f>
        <v/>
      </c>
      <c r="J112" s="193" t="str">
        <f ca="1">IF(Ruimtestaat!J112&gt;0,Schoonmaaknormen!BZ112*calculatietarief,"")</f>
        <v/>
      </c>
      <c r="K112" s="580"/>
      <c r="L112" s="528"/>
      <c r="M112" s="172" t="b">
        <f>IF(_xlfn.XLOOKUP(Schoonmaaknormen!BB112,Tabel2[Locatiecode],Tabel2[Type locatie],"",0)="vaccin",TRUE,FALSE)</f>
        <v>0</v>
      </c>
    </row>
    <row r="113" spans="1:13" ht="0.2" customHeight="1" x14ac:dyDescent="0.2">
      <c r="A113" s="172">
        <f ca="1">Ruimtestaat!A113</f>
        <v>2</v>
      </c>
      <c r="B113" s="532"/>
      <c r="C113" s="10">
        <v>156</v>
      </c>
      <c r="D113" s="190" t="str">
        <f ca="1">IF(Ruimtestaat!D113&gt;0,Schoonmaaknormen!BT113*calculatietarief,"")</f>
        <v/>
      </c>
      <c r="E113" s="191" t="str">
        <f ca="1">IF(Ruimtestaat!E113&gt;0,Schoonmaaknormen!BU113*calculatietarief,"")</f>
        <v/>
      </c>
      <c r="F113" s="192" t="str">
        <f ca="1">IF(Ruimtestaat!F113&gt;0,Schoonmaaknormen!BV113*calculatietarief,"")</f>
        <v/>
      </c>
      <c r="G113" s="191" t="str">
        <f ca="1">IF(Ruimtestaat!G113&gt;0,Schoonmaaknormen!BW113*calculatietarief,"")</f>
        <v/>
      </c>
      <c r="H113" s="191" t="str">
        <f ca="1">IF(Ruimtestaat!H113&gt;0,Schoonmaaknormen!BX113*calculatietarief,"")</f>
        <v/>
      </c>
      <c r="I113" s="193" t="str">
        <f ca="1">IF(Ruimtestaat!I113&gt;0,Schoonmaaknormen!BY113*calculatietarief,"")</f>
        <v/>
      </c>
      <c r="J113" s="193" t="str">
        <f ca="1">IF(Ruimtestaat!J113&gt;0,Schoonmaaknormen!BZ113*calculatietarief,"")</f>
        <v/>
      </c>
      <c r="K113" s="580"/>
      <c r="L113" s="528"/>
      <c r="M113" s="172" t="b">
        <f>IF(_xlfn.XLOOKUP(Schoonmaaknormen!BB113,Tabel2[Locatiecode],Tabel2[Type locatie],"",0)="vaccin",TRUE,FALSE)</f>
        <v>0</v>
      </c>
    </row>
    <row r="114" spans="1:13" ht="0.2" customHeight="1" x14ac:dyDescent="0.2">
      <c r="A114" s="172">
        <f ca="1">Ruimtestaat!A114</f>
        <v>2</v>
      </c>
      <c r="B114" s="532"/>
      <c r="C114" s="10">
        <v>104</v>
      </c>
      <c r="D114" s="194" t="str">
        <f ca="1">IF(Ruimtestaat!D114&gt;0,Schoonmaaknormen!BT114*calculatietarief,"")</f>
        <v/>
      </c>
      <c r="E114" s="192" t="str">
        <f ca="1">IF(Ruimtestaat!E114&gt;0,Schoonmaaknormen!BU114*calculatietarief,"")</f>
        <v/>
      </c>
      <c r="F114" s="192" t="str">
        <f ca="1">IF(Ruimtestaat!F114&gt;0,Schoonmaaknormen!BV114*calculatietarief,"")</f>
        <v/>
      </c>
      <c r="G114" s="192" t="str">
        <f ca="1">IF(Ruimtestaat!G114&gt;0,Schoonmaaknormen!BW114*calculatietarief,"")</f>
        <v/>
      </c>
      <c r="H114" s="192" t="str">
        <f ca="1">IF(Ruimtestaat!H114&gt;0,Schoonmaaknormen!BX114*calculatietarief,"")</f>
        <v/>
      </c>
      <c r="I114" s="193" t="str">
        <f ca="1">IF(Ruimtestaat!I114&gt;0,Schoonmaaknormen!BY114*calculatietarief,"")</f>
        <v/>
      </c>
      <c r="J114" s="193" t="str">
        <f ca="1">IF(Ruimtestaat!J114&gt;0,Schoonmaaknormen!BZ114*calculatietarief,"")</f>
        <v/>
      </c>
      <c r="K114" s="581" t="str">
        <f>IF(Ruimtestaat!K113&gt;0,Schoonmaaknormen!CA114*calculatietarief,"")</f>
        <v/>
      </c>
      <c r="L114" s="529"/>
      <c r="M114" s="172" t="b">
        <f>IF(_xlfn.XLOOKUP(Schoonmaaknormen!BB114,Tabel2[Locatiecode],Tabel2[Type locatie],"",0)="vaccin",TRUE,FALSE)</f>
        <v>0</v>
      </c>
    </row>
    <row r="115" spans="1:13" ht="0.2" customHeight="1" x14ac:dyDescent="0.2">
      <c r="A115" s="172">
        <f ca="1">Ruimtestaat!A115</f>
        <v>2</v>
      </c>
      <c r="B115" s="532"/>
      <c r="C115" s="10">
        <v>52</v>
      </c>
      <c r="D115" s="194" t="str">
        <f ca="1">IF(Ruimtestaat!D115&gt;0,Schoonmaaknormen!BT115*calculatietarief,"")</f>
        <v/>
      </c>
      <c r="E115" s="192" t="str">
        <f ca="1">IF(Ruimtestaat!E115&gt;0,Schoonmaaknormen!BU115*calculatietarief,"")</f>
        <v/>
      </c>
      <c r="F115" s="192" t="str">
        <f ca="1">IF(Ruimtestaat!F115&gt;0,Schoonmaaknormen!BV115*calculatietarief,"")</f>
        <v/>
      </c>
      <c r="G115" s="192" t="str">
        <f ca="1">IF(Ruimtestaat!G115&gt;0,Schoonmaaknormen!BW115*calculatietarief,"")</f>
        <v/>
      </c>
      <c r="H115" s="192" t="str">
        <f ca="1">IF(Ruimtestaat!H115&gt;0,Schoonmaaknormen!BX115*calculatietarief,"")</f>
        <v/>
      </c>
      <c r="I115" s="193" t="str">
        <f ca="1">IF(Ruimtestaat!I115&gt;0,Schoonmaaknormen!BY115*calculatietarief,"")</f>
        <v/>
      </c>
      <c r="J115" s="193" t="str">
        <f ca="1">IF(Ruimtestaat!J115&gt;0,Schoonmaaknormen!BZ115*calculatietarief,"")</f>
        <v/>
      </c>
      <c r="K115" s="581"/>
      <c r="L115" s="529"/>
      <c r="M115" s="172" t="b">
        <f>IF(_xlfn.XLOOKUP(Schoonmaaknormen!BB115,Tabel2[Locatiecode],Tabel2[Type locatie],"",0)="vaccin",TRUE,FALSE)</f>
        <v>0</v>
      </c>
    </row>
    <row r="116" spans="1:13" ht="0.2" customHeight="1" x14ac:dyDescent="0.2">
      <c r="A116" s="172">
        <f ca="1">Ruimtestaat!A116</f>
        <v>2</v>
      </c>
      <c r="B116" s="532"/>
      <c r="C116" s="10">
        <v>4</v>
      </c>
      <c r="D116" s="194" t="str">
        <f ca="1">IF(Ruimtestaat!D116&gt;0,Schoonmaaknormen!BT116*calculatietarief,"")</f>
        <v/>
      </c>
      <c r="E116" s="192" t="str">
        <f ca="1">IF(Ruimtestaat!E116&gt;0,Schoonmaaknormen!BU116*calculatietarief,"")</f>
        <v/>
      </c>
      <c r="F116" s="192" t="str">
        <f ca="1">IF(Ruimtestaat!F116&gt;0,Schoonmaaknormen!BV116*calculatietarief,"")</f>
        <v/>
      </c>
      <c r="G116" s="192" t="str">
        <f ca="1">IF(Ruimtestaat!G116&gt;0,Schoonmaaknormen!BW116*calculatietarief,"")</f>
        <v/>
      </c>
      <c r="H116" s="192" t="str">
        <f ca="1">IF(Ruimtestaat!H116&gt;0,Schoonmaaknormen!BX116*calculatietarief,"")</f>
        <v/>
      </c>
      <c r="I116" s="193" t="str">
        <f ca="1">IF(Ruimtestaat!I116&gt;0,Schoonmaaknormen!BY116*calculatietarief,"")</f>
        <v/>
      </c>
      <c r="J116" s="193" t="str">
        <f ca="1">IF(Ruimtestaat!J116&gt;0,Schoonmaaknormen!BZ116*calculatietarief,"")</f>
        <v/>
      </c>
      <c r="K116" s="581" t="str">
        <f>IF(Ruimtestaat!K116&gt;0,Schoonmaaknormen!CA116*calculatietarief,"")</f>
        <v/>
      </c>
      <c r="L116" s="529"/>
      <c r="M116" s="172" t="b">
        <f>IF(_xlfn.XLOOKUP(Schoonmaaknormen!BB116,Tabel2[Locatiecode],Tabel2[Type locatie],"",0)="vaccin",TRUE,FALSE)</f>
        <v>0</v>
      </c>
    </row>
    <row r="117" spans="1:13" ht="15" customHeight="1" x14ac:dyDescent="0.2">
      <c r="A117" s="172">
        <f ca="1">Ruimtestaat!A117</f>
        <v>1</v>
      </c>
      <c r="B117" s="532" t="str">
        <f>Schoonmaaknormen!BB117</f>
        <v>HRN-MSS</v>
      </c>
      <c r="C117" s="10">
        <v>255</v>
      </c>
      <c r="D117" s="190">
        <f ca="1">IF(Ruimtestaat!D117&gt;0,Schoonmaaknormen!BT117*calculatietarief,"")</f>
        <v>0</v>
      </c>
      <c r="E117" s="191">
        <f ca="1">IF(Ruimtestaat!E117&gt;0,Schoonmaaknormen!BU117*calculatietarief,"")</f>
        <v>0</v>
      </c>
      <c r="F117" s="192">
        <f ca="1">IF(Ruimtestaat!F117&gt;0,Schoonmaaknormen!BV117*calculatietarief,"")</f>
        <v>0</v>
      </c>
      <c r="G117" s="191" t="str">
        <f ca="1">IF(Ruimtestaat!G117&gt;0,Schoonmaaknormen!BW117*calculatietarief,"")</f>
        <v/>
      </c>
      <c r="H117" s="191">
        <f ca="1">IF(Ruimtestaat!H117&gt;0,Schoonmaaknormen!BX117*calculatietarief,"")</f>
        <v>0</v>
      </c>
      <c r="I117" s="193">
        <f ca="1">IF(Ruimtestaat!I117&gt;0,Schoonmaaknormen!BY117*calculatietarief,"")</f>
        <v>0</v>
      </c>
      <c r="J117" s="193" t="str">
        <f ca="1">IF(Ruimtestaat!J117&gt;0,Schoonmaaknormen!BZ117*calculatietarief,"")</f>
        <v/>
      </c>
      <c r="K117" s="580" t="str">
        <f>IF(Schoonmaaknormen!K117&gt;0,Schoonmaaknormen!CA117*calculatietarief,"")</f>
        <v/>
      </c>
      <c r="L117" s="528">
        <f ca="1">SUM(D117:K122)</f>
        <v>0</v>
      </c>
      <c r="M117" s="172" t="b">
        <f>IF(_xlfn.XLOOKUP(Schoonmaaknormen!BB117,Tabel2[Locatiecode],Tabel2[Type locatie],"",0)="vaccin",TRUE,FALSE)</f>
        <v>0</v>
      </c>
    </row>
    <row r="118" spans="1:13" ht="0.2" customHeight="1" x14ac:dyDescent="0.2">
      <c r="A118" s="172">
        <f ca="1">Ruimtestaat!A118</f>
        <v>2</v>
      </c>
      <c r="B118" s="532"/>
      <c r="C118" s="10">
        <v>204</v>
      </c>
      <c r="D118" s="190" t="str">
        <f ca="1">IF(Ruimtestaat!D118&gt;0,Schoonmaaknormen!BT118*calculatietarief,"")</f>
        <v/>
      </c>
      <c r="E118" s="191" t="str">
        <f ca="1">IF(Ruimtestaat!E118&gt;0,Schoonmaaknormen!BU118*calculatietarief,"")</f>
        <v/>
      </c>
      <c r="F118" s="192" t="str">
        <f ca="1">IF(Ruimtestaat!F118&gt;0,Schoonmaaknormen!BV118*calculatietarief,"")</f>
        <v/>
      </c>
      <c r="G118" s="191" t="str">
        <f ca="1">IF(Ruimtestaat!G118&gt;0,Schoonmaaknormen!BW118*calculatietarief,"")</f>
        <v/>
      </c>
      <c r="H118" s="191" t="str">
        <f ca="1">IF(Ruimtestaat!H118&gt;0,Schoonmaaknormen!BX118*calculatietarief,"")</f>
        <v/>
      </c>
      <c r="I118" s="193" t="str">
        <f ca="1">IF(Ruimtestaat!I118&gt;0,Schoonmaaknormen!BY118*calculatietarief,"")</f>
        <v/>
      </c>
      <c r="J118" s="193" t="str">
        <f ca="1">IF(Ruimtestaat!J118&gt;0,Schoonmaaknormen!BZ118*calculatietarief,"")</f>
        <v/>
      </c>
      <c r="K118" s="580"/>
      <c r="L118" s="528"/>
      <c r="M118" s="172" t="b">
        <f>IF(_xlfn.XLOOKUP(Schoonmaaknormen!BB118,Tabel2[Locatiecode],Tabel2[Type locatie],"",0)="vaccin",TRUE,FALSE)</f>
        <v>0</v>
      </c>
    </row>
    <row r="119" spans="1:13" ht="0.2" customHeight="1" x14ac:dyDescent="0.2">
      <c r="A119" s="172">
        <f ca="1">Ruimtestaat!A119</f>
        <v>2</v>
      </c>
      <c r="B119" s="532"/>
      <c r="C119" s="10">
        <v>156</v>
      </c>
      <c r="D119" s="190" t="str">
        <f ca="1">IF(Ruimtestaat!D119&gt;0,Schoonmaaknormen!BT119*calculatietarief,"")</f>
        <v/>
      </c>
      <c r="E119" s="191" t="str">
        <f ca="1">IF(Ruimtestaat!E119&gt;0,Schoonmaaknormen!BU119*calculatietarief,"")</f>
        <v/>
      </c>
      <c r="F119" s="192" t="str">
        <f ca="1">IF(Ruimtestaat!F119&gt;0,Schoonmaaknormen!BV119*calculatietarief,"")</f>
        <v/>
      </c>
      <c r="G119" s="191" t="str">
        <f ca="1">IF(Ruimtestaat!G119&gt;0,Schoonmaaknormen!BW119*calculatietarief,"")</f>
        <v/>
      </c>
      <c r="H119" s="191" t="str">
        <f ca="1">IF(Ruimtestaat!H119&gt;0,Schoonmaaknormen!BX119*calculatietarief,"")</f>
        <v/>
      </c>
      <c r="I119" s="193" t="str">
        <f ca="1">IF(Ruimtestaat!I119&gt;0,Schoonmaaknormen!BY119*calculatietarief,"")</f>
        <v/>
      </c>
      <c r="J119" s="193" t="str">
        <f ca="1">IF(Ruimtestaat!J119&gt;0,Schoonmaaknormen!BZ119*calculatietarief,"")</f>
        <v/>
      </c>
      <c r="K119" s="580"/>
      <c r="L119" s="528"/>
      <c r="M119" s="172" t="b">
        <f>IF(_xlfn.XLOOKUP(Schoonmaaknormen!BB119,Tabel2[Locatiecode],Tabel2[Type locatie],"",0)="vaccin",TRUE,FALSE)</f>
        <v>0</v>
      </c>
    </row>
    <row r="120" spans="1:13" ht="0.2" customHeight="1" x14ac:dyDescent="0.2">
      <c r="A120" s="172">
        <f ca="1">Ruimtestaat!A120</f>
        <v>2</v>
      </c>
      <c r="B120" s="532"/>
      <c r="C120" s="10">
        <v>104</v>
      </c>
      <c r="D120" s="194" t="str">
        <f ca="1">IF(Ruimtestaat!D120&gt;0,Schoonmaaknormen!BT120*calculatietarief,"")</f>
        <v/>
      </c>
      <c r="E120" s="192" t="str">
        <f ca="1">IF(Ruimtestaat!E120&gt;0,Schoonmaaknormen!BU120*calculatietarief,"")</f>
        <v/>
      </c>
      <c r="F120" s="192" t="str">
        <f ca="1">IF(Ruimtestaat!F120&gt;0,Schoonmaaknormen!BV120*calculatietarief,"")</f>
        <v/>
      </c>
      <c r="G120" s="192" t="str">
        <f ca="1">IF(Ruimtestaat!G120&gt;0,Schoonmaaknormen!BW120*calculatietarief,"")</f>
        <v/>
      </c>
      <c r="H120" s="192" t="str">
        <f ca="1">IF(Ruimtestaat!H120&gt;0,Schoonmaaknormen!BX120*calculatietarief,"")</f>
        <v/>
      </c>
      <c r="I120" s="193" t="str">
        <f ca="1">IF(Ruimtestaat!I120&gt;0,Schoonmaaknormen!BY120*calculatietarief,"")</f>
        <v/>
      </c>
      <c r="J120" s="193" t="str">
        <f ca="1">IF(Ruimtestaat!J120&gt;0,Schoonmaaknormen!BZ120*calculatietarief,"")</f>
        <v/>
      </c>
      <c r="K120" s="581" t="str">
        <f>IF(Ruimtestaat!K119&gt;0,Schoonmaaknormen!CA120*calculatietarief,"")</f>
        <v/>
      </c>
      <c r="L120" s="529"/>
      <c r="M120" s="172" t="b">
        <f>IF(_xlfn.XLOOKUP(Schoonmaaknormen!BB120,Tabel2[Locatiecode],Tabel2[Type locatie],"",0)="vaccin",TRUE,FALSE)</f>
        <v>0</v>
      </c>
    </row>
    <row r="121" spans="1:13" ht="0.2" customHeight="1" x14ac:dyDescent="0.2">
      <c r="A121" s="172">
        <f ca="1">Ruimtestaat!A121</f>
        <v>2</v>
      </c>
      <c r="B121" s="532"/>
      <c r="C121" s="10">
        <v>52</v>
      </c>
      <c r="D121" s="194" t="str">
        <f ca="1">IF(Ruimtestaat!D121&gt;0,Schoonmaaknormen!BT121*calculatietarief,"")</f>
        <v/>
      </c>
      <c r="E121" s="192" t="str">
        <f ca="1">IF(Ruimtestaat!E121&gt;0,Schoonmaaknormen!BU121*calculatietarief,"")</f>
        <v/>
      </c>
      <c r="F121" s="192" t="str">
        <f ca="1">IF(Ruimtestaat!F121&gt;0,Schoonmaaknormen!BV121*calculatietarief,"")</f>
        <v/>
      </c>
      <c r="G121" s="192" t="str">
        <f ca="1">IF(Ruimtestaat!G121&gt;0,Schoonmaaknormen!BW121*calculatietarief,"")</f>
        <v/>
      </c>
      <c r="H121" s="192" t="str">
        <f ca="1">IF(Ruimtestaat!H121&gt;0,Schoonmaaknormen!BX121*calculatietarief,"")</f>
        <v/>
      </c>
      <c r="I121" s="193" t="str">
        <f ca="1">IF(Ruimtestaat!I121&gt;0,Schoonmaaknormen!BY121*calculatietarief,"")</f>
        <v/>
      </c>
      <c r="J121" s="193" t="str">
        <f ca="1">IF(Ruimtestaat!J121&gt;0,Schoonmaaknormen!BZ121*calculatietarief,"")</f>
        <v/>
      </c>
      <c r="K121" s="581"/>
      <c r="L121" s="529"/>
      <c r="M121" s="172" t="b">
        <f>IF(_xlfn.XLOOKUP(Schoonmaaknormen!BB121,Tabel2[Locatiecode],Tabel2[Type locatie],"",0)="vaccin",TRUE,FALSE)</f>
        <v>0</v>
      </c>
    </row>
    <row r="122" spans="1:13" ht="0.2" customHeight="1" x14ac:dyDescent="0.2">
      <c r="A122" s="172">
        <f ca="1">Ruimtestaat!A122</f>
        <v>2</v>
      </c>
      <c r="B122" s="532"/>
      <c r="C122" s="10">
        <v>4</v>
      </c>
      <c r="D122" s="194" t="str">
        <f ca="1">IF(Ruimtestaat!D122&gt;0,Schoonmaaknormen!BT122*calculatietarief,"")</f>
        <v/>
      </c>
      <c r="E122" s="192" t="str">
        <f ca="1">IF(Ruimtestaat!E122&gt;0,Schoonmaaknormen!BU122*calculatietarief,"")</f>
        <v/>
      </c>
      <c r="F122" s="192" t="str">
        <f ca="1">IF(Ruimtestaat!F122&gt;0,Schoonmaaknormen!BV122*calculatietarief,"")</f>
        <v/>
      </c>
      <c r="G122" s="192" t="str">
        <f ca="1">IF(Ruimtestaat!G122&gt;0,Schoonmaaknormen!BW122*calculatietarief,"")</f>
        <v/>
      </c>
      <c r="H122" s="192" t="str">
        <f ca="1">IF(Ruimtestaat!H122&gt;0,Schoonmaaknormen!BX122*calculatietarief,"")</f>
        <v/>
      </c>
      <c r="I122" s="193" t="str">
        <f ca="1">IF(Ruimtestaat!I122&gt;0,Schoonmaaknormen!BY122*calculatietarief,"")</f>
        <v/>
      </c>
      <c r="J122" s="193" t="str">
        <f ca="1">IF(Ruimtestaat!J122&gt;0,Schoonmaaknormen!BZ122*calculatietarief,"")</f>
        <v/>
      </c>
      <c r="K122" s="581" t="str">
        <f>IF(Ruimtestaat!K122&gt;0,Schoonmaaknormen!CA122*calculatietarief,"")</f>
        <v/>
      </c>
      <c r="L122" s="529"/>
      <c r="M122" s="172" t="b">
        <f>IF(_xlfn.XLOOKUP(Schoonmaaknormen!BB122,Tabel2[Locatiecode],Tabel2[Type locatie],"",0)="vaccin",TRUE,FALSE)</f>
        <v>0</v>
      </c>
    </row>
    <row r="123" spans="1:13" ht="15" customHeight="1" x14ac:dyDescent="0.2">
      <c r="A123" s="172">
        <f ca="1">Ruimtestaat!A123</f>
        <v>1</v>
      </c>
      <c r="B123" s="532" t="str">
        <f>Schoonmaaknormen!BB123</f>
        <v>HVH-TWG</v>
      </c>
      <c r="C123" s="10">
        <v>255</v>
      </c>
      <c r="D123" s="190" t="str">
        <f ca="1">IF(Ruimtestaat!D123&gt;0,Schoonmaaknormen!BT123*calculatietarief,"")</f>
        <v/>
      </c>
      <c r="E123" s="191">
        <f ca="1">IF(Ruimtestaat!E123&gt;0,Schoonmaaknormen!BU123*calculatietarief,"")</f>
        <v>0</v>
      </c>
      <c r="F123" s="192">
        <f ca="1">IF(Ruimtestaat!F123&gt;0,Schoonmaaknormen!BV123*calculatietarief,"")</f>
        <v>0</v>
      </c>
      <c r="G123" s="191" t="str">
        <f ca="1">IF(Ruimtestaat!G123&gt;0,Schoonmaaknormen!BW123*calculatietarief,"")</f>
        <v/>
      </c>
      <c r="H123" s="191">
        <f ca="1">IF(Ruimtestaat!H123&gt;0,Schoonmaaknormen!BX123*calculatietarief,"")</f>
        <v>0</v>
      </c>
      <c r="I123" s="193">
        <f ca="1">IF(Ruimtestaat!I123&gt;0,Schoonmaaknormen!BY123*calculatietarief,"")</f>
        <v>0</v>
      </c>
      <c r="J123" s="193" t="str">
        <f ca="1">IF(Ruimtestaat!J123&gt;0,Schoonmaaknormen!BZ123*calculatietarief,"")</f>
        <v/>
      </c>
      <c r="K123" s="580" t="str">
        <f>IF(Schoonmaaknormen!K123&gt;0,Schoonmaaknormen!CA123*calculatietarief,"")</f>
        <v/>
      </c>
      <c r="L123" s="528">
        <f ca="1">SUM(D123:K128)</f>
        <v>0</v>
      </c>
      <c r="M123" s="172" t="b">
        <f>IF(_xlfn.XLOOKUP(Schoonmaaknormen!BB123,Tabel2[Locatiecode],Tabel2[Type locatie],"",0)="vaccin",TRUE,FALSE)</f>
        <v>1</v>
      </c>
    </row>
    <row r="124" spans="1:13" ht="0.2" customHeight="1" x14ac:dyDescent="0.2">
      <c r="A124" s="172">
        <f ca="1">Ruimtestaat!A124</f>
        <v>0</v>
      </c>
      <c r="B124" s="532"/>
      <c r="C124" s="10">
        <v>204</v>
      </c>
      <c r="D124" s="190" t="str">
        <f ca="1">IF(Ruimtestaat!D124&gt;0,Schoonmaaknormen!BT124*calculatietarief,"")</f>
        <v/>
      </c>
      <c r="E124" s="191" t="str">
        <f ca="1">IF(Ruimtestaat!E124&gt;0,Schoonmaaknormen!BU124*calculatietarief,"")</f>
        <v/>
      </c>
      <c r="F124" s="192" t="str">
        <f ca="1">IF(Ruimtestaat!F124&gt;0,Schoonmaaknormen!BV124*calculatietarief,"")</f>
        <v/>
      </c>
      <c r="G124" s="191" t="str">
        <f ca="1">IF(Ruimtestaat!G124&gt;0,Schoonmaaknormen!BW124*calculatietarief,"")</f>
        <v/>
      </c>
      <c r="H124" s="191" t="str">
        <f ca="1">IF(Ruimtestaat!H124&gt;0,Schoonmaaknormen!BX124*calculatietarief,"")</f>
        <v/>
      </c>
      <c r="I124" s="193" t="str">
        <f ca="1">IF(Ruimtestaat!I124&gt;0,Schoonmaaknormen!BY124*calculatietarief,"")</f>
        <v/>
      </c>
      <c r="J124" s="193" t="str">
        <f ca="1">IF(Ruimtestaat!J124&gt;0,Schoonmaaknormen!BZ124*calculatietarief,"")</f>
        <v/>
      </c>
      <c r="K124" s="580"/>
      <c r="L124" s="528"/>
      <c r="M124" s="172" t="b">
        <f>IF(_xlfn.XLOOKUP(Schoonmaaknormen!BB124,Tabel2[Locatiecode],Tabel2[Type locatie],"",0)="vaccin",TRUE,FALSE)</f>
        <v>1</v>
      </c>
    </row>
    <row r="125" spans="1:13" ht="0.2" customHeight="1" x14ac:dyDescent="0.2">
      <c r="A125" s="172">
        <f ca="1">Ruimtestaat!A125</f>
        <v>0</v>
      </c>
      <c r="B125" s="532"/>
      <c r="C125" s="10">
        <v>156</v>
      </c>
      <c r="D125" s="190" t="str">
        <f ca="1">IF(Ruimtestaat!D125&gt;0,Schoonmaaknormen!BT125*calculatietarief,"")</f>
        <v/>
      </c>
      <c r="E125" s="191" t="str">
        <f ca="1">IF(Ruimtestaat!E125&gt;0,Schoonmaaknormen!BU125*calculatietarief,"")</f>
        <v/>
      </c>
      <c r="F125" s="192" t="str">
        <f ca="1">IF(Ruimtestaat!F125&gt;0,Schoonmaaknormen!BV125*calculatietarief,"")</f>
        <v/>
      </c>
      <c r="G125" s="191" t="str">
        <f ca="1">IF(Ruimtestaat!G125&gt;0,Schoonmaaknormen!BW125*calculatietarief,"")</f>
        <v/>
      </c>
      <c r="H125" s="191" t="str">
        <f ca="1">IF(Ruimtestaat!H125&gt;0,Schoonmaaknormen!BX125*calculatietarief,"")</f>
        <v/>
      </c>
      <c r="I125" s="193" t="str">
        <f ca="1">IF(Ruimtestaat!I125&gt;0,Schoonmaaknormen!BY125*calculatietarief,"")</f>
        <v/>
      </c>
      <c r="J125" s="193" t="str">
        <f ca="1">IF(Ruimtestaat!J125&gt;0,Schoonmaaknormen!BZ125*calculatietarief,"")</f>
        <v/>
      </c>
      <c r="K125" s="580"/>
      <c r="L125" s="528"/>
      <c r="M125" s="172" t="b">
        <f>IF(_xlfn.XLOOKUP(Schoonmaaknormen!BB125,Tabel2[Locatiecode],Tabel2[Type locatie],"",0)="vaccin",TRUE,FALSE)</f>
        <v>1</v>
      </c>
    </row>
    <row r="126" spans="1:13" ht="0.2" customHeight="1" x14ac:dyDescent="0.2">
      <c r="A126" s="172">
        <f ca="1">Ruimtestaat!A126</f>
        <v>0</v>
      </c>
      <c r="B126" s="532"/>
      <c r="C126" s="10">
        <v>104</v>
      </c>
      <c r="D126" s="194" t="str">
        <f ca="1">IF(Ruimtestaat!D126&gt;0,Schoonmaaknormen!BT126*calculatietarief,"")</f>
        <v/>
      </c>
      <c r="E126" s="192" t="str">
        <f ca="1">IF(Ruimtestaat!E126&gt;0,Schoonmaaknormen!BU126*calculatietarief,"")</f>
        <v/>
      </c>
      <c r="F126" s="192" t="str">
        <f ca="1">IF(Ruimtestaat!F126&gt;0,Schoonmaaknormen!BV126*calculatietarief,"")</f>
        <v/>
      </c>
      <c r="G126" s="192" t="str">
        <f ca="1">IF(Ruimtestaat!G126&gt;0,Schoonmaaknormen!BW126*calculatietarief,"")</f>
        <v/>
      </c>
      <c r="H126" s="192" t="str">
        <f ca="1">IF(Ruimtestaat!H126&gt;0,Schoonmaaknormen!BX126*calculatietarief,"")</f>
        <v/>
      </c>
      <c r="I126" s="193" t="str">
        <f ca="1">IF(Ruimtestaat!I126&gt;0,Schoonmaaknormen!BY126*calculatietarief,"")</f>
        <v/>
      </c>
      <c r="J126" s="193" t="str">
        <f ca="1">IF(Ruimtestaat!J126&gt;0,Schoonmaaknormen!BZ126*calculatietarief,"")</f>
        <v/>
      </c>
      <c r="K126" s="581" t="str">
        <f>IF(Ruimtestaat!K125&gt;0,Schoonmaaknormen!CA126*calculatietarief,"")</f>
        <v/>
      </c>
      <c r="L126" s="529"/>
      <c r="M126" s="172" t="b">
        <f>IF(_xlfn.XLOOKUP(Schoonmaaknormen!BB126,Tabel2[Locatiecode],Tabel2[Type locatie],"",0)="vaccin",TRUE,FALSE)</f>
        <v>1</v>
      </c>
    </row>
    <row r="127" spans="1:13" ht="0.2" customHeight="1" x14ac:dyDescent="0.2">
      <c r="A127" s="172">
        <f ca="1">Ruimtestaat!A127</f>
        <v>0</v>
      </c>
      <c r="B127" s="532"/>
      <c r="C127" s="10">
        <v>52</v>
      </c>
      <c r="D127" s="194" t="str">
        <f ca="1">IF(Ruimtestaat!D127&gt;0,Schoonmaaknormen!BT127*calculatietarief,"")</f>
        <v/>
      </c>
      <c r="E127" s="192" t="str">
        <f ca="1">IF(Ruimtestaat!E127&gt;0,Schoonmaaknormen!BU127*calculatietarief,"")</f>
        <v/>
      </c>
      <c r="F127" s="192" t="str">
        <f ca="1">IF(Ruimtestaat!F127&gt;0,Schoonmaaknormen!BV127*calculatietarief,"")</f>
        <v/>
      </c>
      <c r="G127" s="192" t="str">
        <f ca="1">IF(Ruimtestaat!G127&gt;0,Schoonmaaknormen!BW127*calculatietarief,"")</f>
        <v/>
      </c>
      <c r="H127" s="192" t="str">
        <f ca="1">IF(Ruimtestaat!H127&gt;0,Schoonmaaknormen!BX127*calculatietarief,"")</f>
        <v/>
      </c>
      <c r="I127" s="193" t="str">
        <f ca="1">IF(Ruimtestaat!I127&gt;0,Schoonmaaknormen!BY127*calculatietarief,"")</f>
        <v/>
      </c>
      <c r="J127" s="193" t="str">
        <f ca="1">IF(Ruimtestaat!J127&gt;0,Schoonmaaknormen!BZ127*calculatietarief,"")</f>
        <v/>
      </c>
      <c r="K127" s="581"/>
      <c r="L127" s="529"/>
      <c r="M127" s="172" t="b">
        <f>IF(_xlfn.XLOOKUP(Schoonmaaknormen!BB127,Tabel2[Locatiecode],Tabel2[Type locatie],"",0)="vaccin",TRUE,FALSE)</f>
        <v>1</v>
      </c>
    </row>
    <row r="128" spans="1:13" ht="0.2" customHeight="1" x14ac:dyDescent="0.2">
      <c r="A128" s="172">
        <f ca="1">Ruimtestaat!A128</f>
        <v>2</v>
      </c>
      <c r="B128" s="532"/>
      <c r="C128" s="10">
        <v>4</v>
      </c>
      <c r="D128" s="194" t="str">
        <f ca="1">IF(Ruimtestaat!D128&gt;0,Schoonmaaknormen!BT128*calculatietarief,"")</f>
        <v/>
      </c>
      <c r="E128" s="192" t="str">
        <f ca="1">IF(Ruimtestaat!E128&gt;0,Schoonmaaknormen!BU128*calculatietarief,"")</f>
        <v/>
      </c>
      <c r="F128" s="192" t="str">
        <f ca="1">IF(Ruimtestaat!F128&gt;0,Schoonmaaknormen!BV128*calculatietarief,"")</f>
        <v/>
      </c>
      <c r="G128" s="192" t="str">
        <f ca="1">IF(Ruimtestaat!G128&gt;0,Schoonmaaknormen!BW128*calculatietarief,"")</f>
        <v/>
      </c>
      <c r="H128" s="192" t="str">
        <f ca="1">IF(Ruimtestaat!H128&gt;0,Schoonmaaknormen!BX128*calculatietarief,"")</f>
        <v/>
      </c>
      <c r="I128" s="193" t="str">
        <f ca="1">IF(Ruimtestaat!I128&gt;0,Schoonmaaknormen!BY128*calculatietarief,"")</f>
        <v/>
      </c>
      <c r="J128" s="193" t="str">
        <f ca="1">IF(Ruimtestaat!J128&gt;0,Schoonmaaknormen!BZ128*calculatietarief,"")</f>
        <v/>
      </c>
      <c r="K128" s="581" t="str">
        <f>IF(Ruimtestaat!K128&gt;0,Schoonmaaknormen!CA128*calculatietarief,"")</f>
        <v/>
      </c>
      <c r="L128" s="529"/>
      <c r="M128" s="172" t="b">
        <f>IF(_xlfn.XLOOKUP(Schoonmaaknormen!BB128,Tabel2[Locatiecode],Tabel2[Type locatie],"",0)="vaccin",TRUE,FALSE)</f>
        <v>1</v>
      </c>
    </row>
    <row r="129" spans="1:13" ht="15" customHeight="1" x14ac:dyDescent="0.2">
      <c r="A129" s="172">
        <f ca="1">Ruimtestaat!A129</f>
        <v>1</v>
      </c>
      <c r="B129" s="532" t="str">
        <f>Schoonmaaknormen!BB129</f>
        <v>JUL-MDZ</v>
      </c>
      <c r="C129" s="10">
        <v>255</v>
      </c>
      <c r="D129" s="190">
        <f ca="1">IF(Ruimtestaat!D129&gt;0,Schoonmaaknormen!BT129*calculatietarief,"")</f>
        <v>0</v>
      </c>
      <c r="E129" s="191">
        <f ca="1">IF(Ruimtestaat!E129&gt;0,Schoonmaaknormen!BU129*calculatietarief,"")</f>
        <v>0</v>
      </c>
      <c r="F129" s="192">
        <f ca="1">IF(Ruimtestaat!F129&gt;0,Schoonmaaknormen!BV129*calculatietarief,"")</f>
        <v>0</v>
      </c>
      <c r="G129" s="191">
        <f ca="1">IF(Ruimtestaat!G129&gt;0,Schoonmaaknormen!BW129*calculatietarief,"")</f>
        <v>0</v>
      </c>
      <c r="H129" s="191">
        <f ca="1">IF(Ruimtestaat!H129&gt;0,Schoonmaaknormen!BX129*calculatietarief,"")</f>
        <v>0</v>
      </c>
      <c r="I129" s="193">
        <f ca="1">IF(Ruimtestaat!I129&gt;0,Schoonmaaknormen!BY129*calculatietarief,"")</f>
        <v>0</v>
      </c>
      <c r="J129" s="193" t="str">
        <f ca="1">IF(Ruimtestaat!J129&gt;0,Schoonmaaknormen!BZ129*calculatietarief,"")</f>
        <v/>
      </c>
      <c r="K129" s="580" t="str">
        <f>IF(Schoonmaaknormen!K129&gt;0,Schoonmaaknormen!CA129*calculatietarief,"")</f>
        <v/>
      </c>
      <c r="L129" s="528">
        <f ca="1">SUM(D129:K134)</f>
        <v>0</v>
      </c>
      <c r="M129" s="172" t="b">
        <f>IF(_xlfn.XLOOKUP(Schoonmaaknormen!BB129,Tabel2[Locatiecode],Tabel2[Type locatie],"",0)="vaccin",TRUE,FALSE)</f>
        <v>0</v>
      </c>
    </row>
    <row r="130" spans="1:13" ht="0.2" customHeight="1" x14ac:dyDescent="0.2">
      <c r="A130" s="172">
        <f ca="1">Ruimtestaat!A130</f>
        <v>2</v>
      </c>
      <c r="B130" s="532"/>
      <c r="C130" s="10">
        <v>204</v>
      </c>
      <c r="D130" s="190" t="str">
        <f ca="1">IF(Ruimtestaat!D130&gt;0,Schoonmaaknormen!BT130*calculatietarief,"")</f>
        <v/>
      </c>
      <c r="E130" s="191" t="str">
        <f ca="1">IF(Ruimtestaat!E130&gt;0,Schoonmaaknormen!BU130*calculatietarief,"")</f>
        <v/>
      </c>
      <c r="F130" s="192" t="str">
        <f ca="1">IF(Ruimtestaat!F130&gt;0,Schoonmaaknormen!BV130*calculatietarief,"")</f>
        <v/>
      </c>
      <c r="G130" s="191" t="str">
        <f ca="1">IF(Ruimtestaat!G130&gt;0,Schoonmaaknormen!BW130*calculatietarief,"")</f>
        <v/>
      </c>
      <c r="H130" s="191" t="str">
        <f ca="1">IF(Ruimtestaat!H130&gt;0,Schoonmaaknormen!BX130*calculatietarief,"")</f>
        <v/>
      </c>
      <c r="I130" s="193" t="str">
        <f ca="1">IF(Ruimtestaat!I130&gt;0,Schoonmaaknormen!BY130*calculatietarief,"")</f>
        <v/>
      </c>
      <c r="J130" s="193" t="str">
        <f ca="1">IF(Ruimtestaat!J130&gt;0,Schoonmaaknormen!BZ130*calculatietarief,"")</f>
        <v/>
      </c>
      <c r="K130" s="580"/>
      <c r="L130" s="528"/>
      <c r="M130" s="172" t="b">
        <f>IF(_xlfn.XLOOKUP(Schoonmaaknormen!BB130,Tabel2[Locatiecode],Tabel2[Type locatie],"",0)="vaccin",TRUE,FALSE)</f>
        <v>0</v>
      </c>
    </row>
    <row r="131" spans="1:13" ht="0.2" customHeight="1" x14ac:dyDescent="0.2">
      <c r="A131" s="172">
        <f ca="1">Ruimtestaat!A131</f>
        <v>2</v>
      </c>
      <c r="B131" s="532"/>
      <c r="C131" s="10">
        <v>156</v>
      </c>
      <c r="D131" s="190" t="str">
        <f ca="1">IF(Ruimtestaat!D131&gt;0,Schoonmaaknormen!BT131*calculatietarief,"")</f>
        <v/>
      </c>
      <c r="E131" s="191" t="str">
        <f ca="1">IF(Ruimtestaat!E131&gt;0,Schoonmaaknormen!BU131*calculatietarief,"")</f>
        <v/>
      </c>
      <c r="F131" s="192" t="str">
        <f ca="1">IF(Ruimtestaat!F131&gt;0,Schoonmaaknormen!BV131*calculatietarief,"")</f>
        <v/>
      </c>
      <c r="G131" s="191" t="str">
        <f ca="1">IF(Ruimtestaat!G131&gt;0,Schoonmaaknormen!BW131*calculatietarief,"")</f>
        <v/>
      </c>
      <c r="H131" s="191" t="str">
        <f ca="1">IF(Ruimtestaat!H131&gt;0,Schoonmaaknormen!BX131*calculatietarief,"")</f>
        <v/>
      </c>
      <c r="I131" s="193" t="str">
        <f ca="1">IF(Ruimtestaat!I131&gt;0,Schoonmaaknormen!BY131*calculatietarief,"")</f>
        <v/>
      </c>
      <c r="J131" s="193" t="str">
        <f ca="1">IF(Ruimtestaat!J131&gt;0,Schoonmaaknormen!BZ131*calculatietarief,"")</f>
        <v/>
      </c>
      <c r="K131" s="580"/>
      <c r="L131" s="528"/>
      <c r="M131" s="172" t="b">
        <f>IF(_xlfn.XLOOKUP(Schoonmaaknormen!BB131,Tabel2[Locatiecode],Tabel2[Type locatie],"",0)="vaccin",TRUE,FALSE)</f>
        <v>0</v>
      </c>
    </row>
    <row r="132" spans="1:13" ht="0.2" customHeight="1" x14ac:dyDescent="0.2">
      <c r="A132" s="172">
        <f ca="1">Ruimtestaat!A132</f>
        <v>2</v>
      </c>
      <c r="B132" s="532"/>
      <c r="C132" s="10">
        <v>104</v>
      </c>
      <c r="D132" s="194" t="str">
        <f ca="1">IF(Ruimtestaat!D132&gt;0,Schoonmaaknormen!BT132*calculatietarief,"")</f>
        <v/>
      </c>
      <c r="E132" s="192" t="str">
        <f ca="1">IF(Ruimtestaat!E132&gt;0,Schoonmaaknormen!BU132*calculatietarief,"")</f>
        <v/>
      </c>
      <c r="F132" s="192" t="str">
        <f ca="1">IF(Ruimtestaat!F132&gt;0,Schoonmaaknormen!BV132*calculatietarief,"")</f>
        <v/>
      </c>
      <c r="G132" s="192" t="str">
        <f ca="1">IF(Ruimtestaat!G132&gt;0,Schoonmaaknormen!BW132*calculatietarief,"")</f>
        <v/>
      </c>
      <c r="H132" s="192" t="str">
        <f ca="1">IF(Ruimtestaat!H132&gt;0,Schoonmaaknormen!BX132*calculatietarief,"")</f>
        <v/>
      </c>
      <c r="I132" s="193" t="str">
        <f ca="1">IF(Ruimtestaat!I132&gt;0,Schoonmaaknormen!BY132*calculatietarief,"")</f>
        <v/>
      </c>
      <c r="J132" s="193" t="str">
        <f ca="1">IF(Ruimtestaat!J132&gt;0,Schoonmaaknormen!BZ132*calculatietarief,"")</f>
        <v/>
      </c>
      <c r="K132" s="581" t="str">
        <f>IF(Ruimtestaat!K131&gt;0,Schoonmaaknormen!CA132*calculatietarief,"")</f>
        <v/>
      </c>
      <c r="L132" s="529"/>
      <c r="M132" s="172" t="b">
        <f>IF(_xlfn.XLOOKUP(Schoonmaaknormen!BB132,Tabel2[Locatiecode],Tabel2[Type locatie],"",0)="vaccin",TRUE,FALSE)</f>
        <v>0</v>
      </c>
    </row>
    <row r="133" spans="1:13" ht="0.2" customHeight="1" x14ac:dyDescent="0.2">
      <c r="A133" s="172">
        <f ca="1">Ruimtestaat!A133</f>
        <v>2</v>
      </c>
      <c r="B133" s="532"/>
      <c r="C133" s="10">
        <v>52</v>
      </c>
      <c r="D133" s="194" t="str">
        <f ca="1">IF(Ruimtestaat!D133&gt;0,Schoonmaaknormen!BT133*calculatietarief,"")</f>
        <v/>
      </c>
      <c r="E133" s="192" t="str">
        <f ca="1">IF(Ruimtestaat!E133&gt;0,Schoonmaaknormen!BU133*calculatietarief,"")</f>
        <v/>
      </c>
      <c r="F133" s="192" t="str">
        <f ca="1">IF(Ruimtestaat!F133&gt;0,Schoonmaaknormen!BV133*calculatietarief,"")</f>
        <v/>
      </c>
      <c r="G133" s="192" t="str">
        <f ca="1">IF(Ruimtestaat!G133&gt;0,Schoonmaaknormen!BW133*calculatietarief,"")</f>
        <v/>
      </c>
      <c r="H133" s="192" t="str">
        <f ca="1">IF(Ruimtestaat!H133&gt;0,Schoonmaaknormen!BX133*calculatietarief,"")</f>
        <v/>
      </c>
      <c r="I133" s="193" t="str">
        <f ca="1">IF(Ruimtestaat!I133&gt;0,Schoonmaaknormen!BY133*calculatietarief,"")</f>
        <v/>
      </c>
      <c r="J133" s="193" t="str">
        <f ca="1">IF(Ruimtestaat!J133&gt;0,Schoonmaaknormen!BZ133*calculatietarief,"")</f>
        <v/>
      </c>
      <c r="K133" s="581"/>
      <c r="L133" s="529"/>
      <c r="M133" s="172" t="b">
        <f>IF(_xlfn.XLOOKUP(Schoonmaaknormen!BB133,Tabel2[Locatiecode],Tabel2[Type locatie],"",0)="vaccin",TRUE,FALSE)</f>
        <v>0</v>
      </c>
    </row>
    <row r="134" spans="1:13" ht="0.2" customHeight="1" x14ac:dyDescent="0.2">
      <c r="A134" s="172">
        <f ca="1">Ruimtestaat!A134</f>
        <v>2</v>
      </c>
      <c r="B134" s="532"/>
      <c r="C134" s="10">
        <v>4</v>
      </c>
      <c r="D134" s="194" t="str">
        <f ca="1">IF(Ruimtestaat!D134&gt;0,Schoonmaaknormen!BT134*calculatietarief,"")</f>
        <v/>
      </c>
      <c r="E134" s="192" t="str">
        <f ca="1">IF(Ruimtestaat!E134&gt;0,Schoonmaaknormen!BU134*calculatietarief,"")</f>
        <v/>
      </c>
      <c r="F134" s="192" t="str">
        <f ca="1">IF(Ruimtestaat!F134&gt;0,Schoonmaaknormen!BV134*calculatietarief,"")</f>
        <v/>
      </c>
      <c r="G134" s="192" t="str">
        <f ca="1">IF(Ruimtestaat!G134&gt;0,Schoonmaaknormen!BW134*calculatietarief,"")</f>
        <v/>
      </c>
      <c r="H134" s="192" t="str">
        <f ca="1">IF(Ruimtestaat!H134&gt;0,Schoonmaaknormen!BX134*calculatietarief,"")</f>
        <v/>
      </c>
      <c r="I134" s="193" t="str">
        <f ca="1">IF(Ruimtestaat!I134&gt;0,Schoonmaaknormen!BY134*calculatietarief,"")</f>
        <v/>
      </c>
      <c r="J134" s="193" t="str">
        <f ca="1">IF(Ruimtestaat!J134&gt;0,Schoonmaaknormen!BZ134*calculatietarief,"")</f>
        <v/>
      </c>
      <c r="K134" s="581" t="str">
        <f>IF(Ruimtestaat!K134&gt;0,Schoonmaaknormen!CA134*calculatietarief,"")</f>
        <v/>
      </c>
      <c r="L134" s="529"/>
      <c r="M134" s="172" t="b">
        <f>IF(_xlfn.XLOOKUP(Schoonmaaknormen!BB134,Tabel2[Locatiecode],Tabel2[Type locatie],"",0)="vaccin",TRUE,FALSE)</f>
        <v>0</v>
      </c>
    </row>
    <row r="135" spans="1:13" ht="15" customHeight="1" x14ac:dyDescent="0.2">
      <c r="A135" s="172">
        <f ca="1">Ruimtestaat!A135</f>
        <v>1</v>
      </c>
      <c r="B135" s="532" t="str">
        <f>Schoonmaaknormen!BB135</f>
        <v>MDB-SMH</v>
      </c>
      <c r="C135" s="10">
        <v>255</v>
      </c>
      <c r="D135" s="190">
        <f ca="1">IF(Ruimtestaat!D135&gt;0,Schoonmaaknormen!BT135*calculatietarief,"")</f>
        <v>0</v>
      </c>
      <c r="E135" s="191">
        <f ca="1">IF(Ruimtestaat!E135&gt;0,Schoonmaaknormen!BU135*calculatietarief,"")</f>
        <v>0</v>
      </c>
      <c r="F135" s="192">
        <f ca="1">IF(Ruimtestaat!F135&gt;0,Schoonmaaknormen!BV135*calculatietarief,"")</f>
        <v>0</v>
      </c>
      <c r="G135" s="191">
        <f ca="1">IF(Ruimtestaat!G135&gt;0,Schoonmaaknormen!BW135*calculatietarief,"")</f>
        <v>0</v>
      </c>
      <c r="H135" s="191">
        <f ca="1">IF(Ruimtestaat!H135&gt;0,Schoonmaaknormen!BX135*calculatietarief,"")</f>
        <v>0</v>
      </c>
      <c r="I135" s="193">
        <f ca="1">IF(Ruimtestaat!I135&gt;0,Schoonmaaknormen!BY135*calculatietarief,"")</f>
        <v>0</v>
      </c>
      <c r="J135" s="193" t="str">
        <f ca="1">IF(Ruimtestaat!J135&gt;0,Schoonmaaknormen!BZ135*calculatietarief,"")</f>
        <v/>
      </c>
      <c r="K135" s="580" t="str">
        <f>IF(Schoonmaaknormen!K135&gt;0,Schoonmaaknormen!CA135*calculatietarief,"")</f>
        <v/>
      </c>
      <c r="L135" s="528">
        <f ca="1">SUM(D135:K140)</f>
        <v>0</v>
      </c>
      <c r="M135" s="172" t="b">
        <f>IF(_xlfn.XLOOKUP(Schoonmaaknormen!BB135,Tabel2[Locatiecode],Tabel2[Type locatie],"",0)="vaccin",TRUE,FALSE)</f>
        <v>0</v>
      </c>
    </row>
    <row r="136" spans="1:13" ht="0.2" customHeight="1" x14ac:dyDescent="0.2">
      <c r="A136" s="172">
        <f ca="1">Ruimtestaat!A136</f>
        <v>2</v>
      </c>
      <c r="B136" s="532"/>
      <c r="C136" s="10">
        <v>204</v>
      </c>
      <c r="D136" s="190" t="str">
        <f ca="1">IF(Ruimtestaat!D136&gt;0,Schoonmaaknormen!BT136*calculatietarief,"")</f>
        <v/>
      </c>
      <c r="E136" s="191" t="str">
        <f ca="1">IF(Ruimtestaat!E136&gt;0,Schoonmaaknormen!BU136*calculatietarief,"")</f>
        <v/>
      </c>
      <c r="F136" s="192" t="str">
        <f ca="1">IF(Ruimtestaat!F136&gt;0,Schoonmaaknormen!BV136*calculatietarief,"")</f>
        <v/>
      </c>
      <c r="G136" s="191" t="str">
        <f ca="1">IF(Ruimtestaat!G136&gt;0,Schoonmaaknormen!BW136*calculatietarief,"")</f>
        <v/>
      </c>
      <c r="H136" s="191" t="str">
        <f ca="1">IF(Ruimtestaat!H136&gt;0,Schoonmaaknormen!BX136*calculatietarief,"")</f>
        <v/>
      </c>
      <c r="I136" s="193" t="str">
        <f ca="1">IF(Ruimtestaat!I136&gt;0,Schoonmaaknormen!BY136*calculatietarief,"")</f>
        <v/>
      </c>
      <c r="J136" s="193" t="str">
        <f ca="1">IF(Ruimtestaat!J136&gt;0,Schoonmaaknormen!BZ136*calculatietarief,"")</f>
        <v/>
      </c>
      <c r="K136" s="580"/>
      <c r="L136" s="528"/>
      <c r="M136" s="172" t="b">
        <f>IF(_xlfn.XLOOKUP(Schoonmaaknormen!BB136,Tabel2[Locatiecode],Tabel2[Type locatie],"",0)="vaccin",TRUE,FALSE)</f>
        <v>0</v>
      </c>
    </row>
    <row r="137" spans="1:13" ht="0.2" customHeight="1" x14ac:dyDescent="0.2">
      <c r="A137" s="172">
        <f ca="1">Ruimtestaat!A137</f>
        <v>2</v>
      </c>
      <c r="B137" s="532"/>
      <c r="C137" s="10">
        <v>156</v>
      </c>
      <c r="D137" s="190" t="str">
        <f ca="1">IF(Ruimtestaat!D137&gt;0,Schoonmaaknormen!BT137*calculatietarief,"")</f>
        <v/>
      </c>
      <c r="E137" s="191" t="str">
        <f ca="1">IF(Ruimtestaat!E137&gt;0,Schoonmaaknormen!BU137*calculatietarief,"")</f>
        <v/>
      </c>
      <c r="F137" s="192" t="str">
        <f ca="1">IF(Ruimtestaat!F137&gt;0,Schoonmaaknormen!BV137*calculatietarief,"")</f>
        <v/>
      </c>
      <c r="G137" s="191" t="str">
        <f ca="1">IF(Ruimtestaat!G137&gt;0,Schoonmaaknormen!BW137*calculatietarief,"")</f>
        <v/>
      </c>
      <c r="H137" s="191" t="str">
        <f ca="1">IF(Ruimtestaat!H137&gt;0,Schoonmaaknormen!BX137*calculatietarief,"")</f>
        <v/>
      </c>
      <c r="I137" s="193" t="str">
        <f ca="1">IF(Ruimtestaat!I137&gt;0,Schoonmaaknormen!BY137*calculatietarief,"")</f>
        <v/>
      </c>
      <c r="J137" s="193" t="str">
        <f ca="1">IF(Ruimtestaat!J137&gt;0,Schoonmaaknormen!BZ137*calculatietarief,"")</f>
        <v/>
      </c>
      <c r="K137" s="580"/>
      <c r="L137" s="528"/>
      <c r="M137" s="172" t="b">
        <f>IF(_xlfn.XLOOKUP(Schoonmaaknormen!BB137,Tabel2[Locatiecode],Tabel2[Type locatie],"",0)="vaccin",TRUE,FALSE)</f>
        <v>0</v>
      </c>
    </row>
    <row r="138" spans="1:13" ht="0.2" customHeight="1" x14ac:dyDescent="0.2">
      <c r="A138" s="172">
        <f ca="1">Ruimtestaat!A138</f>
        <v>2</v>
      </c>
      <c r="B138" s="532"/>
      <c r="C138" s="10">
        <v>104</v>
      </c>
      <c r="D138" s="194" t="str">
        <f ca="1">IF(Ruimtestaat!D138&gt;0,Schoonmaaknormen!BT138*calculatietarief,"")</f>
        <v/>
      </c>
      <c r="E138" s="192" t="str">
        <f ca="1">IF(Ruimtestaat!E138&gt;0,Schoonmaaknormen!BU138*calculatietarief,"")</f>
        <v/>
      </c>
      <c r="F138" s="192" t="str">
        <f ca="1">IF(Ruimtestaat!F138&gt;0,Schoonmaaknormen!BV138*calculatietarief,"")</f>
        <v/>
      </c>
      <c r="G138" s="192" t="str">
        <f ca="1">IF(Ruimtestaat!G138&gt;0,Schoonmaaknormen!BW138*calculatietarief,"")</f>
        <v/>
      </c>
      <c r="H138" s="192" t="str">
        <f ca="1">IF(Ruimtestaat!H138&gt;0,Schoonmaaknormen!BX138*calculatietarief,"")</f>
        <v/>
      </c>
      <c r="I138" s="193" t="str">
        <f ca="1">IF(Ruimtestaat!I138&gt;0,Schoonmaaknormen!BY138*calculatietarief,"")</f>
        <v/>
      </c>
      <c r="J138" s="193" t="str">
        <f ca="1">IF(Ruimtestaat!J138&gt;0,Schoonmaaknormen!BZ138*calculatietarief,"")</f>
        <v/>
      </c>
      <c r="K138" s="581" t="str">
        <f>IF(Ruimtestaat!K137&gt;0,Schoonmaaknormen!CA138*calculatietarief,"")</f>
        <v/>
      </c>
      <c r="L138" s="529"/>
      <c r="M138" s="172" t="b">
        <f>IF(_xlfn.XLOOKUP(Schoonmaaknormen!BB138,Tabel2[Locatiecode],Tabel2[Type locatie],"",0)="vaccin",TRUE,FALSE)</f>
        <v>0</v>
      </c>
    </row>
    <row r="139" spans="1:13" ht="0.2" customHeight="1" x14ac:dyDescent="0.2">
      <c r="A139" s="172">
        <f ca="1">Ruimtestaat!A139</f>
        <v>2</v>
      </c>
      <c r="B139" s="532"/>
      <c r="C139" s="10">
        <v>52</v>
      </c>
      <c r="D139" s="194" t="str">
        <f ca="1">IF(Ruimtestaat!D139&gt;0,Schoonmaaknormen!BT139*calculatietarief,"")</f>
        <v/>
      </c>
      <c r="E139" s="192" t="str">
        <f ca="1">IF(Ruimtestaat!E139&gt;0,Schoonmaaknormen!BU139*calculatietarief,"")</f>
        <v/>
      </c>
      <c r="F139" s="192" t="str">
        <f ca="1">IF(Ruimtestaat!F139&gt;0,Schoonmaaknormen!BV139*calculatietarief,"")</f>
        <v/>
      </c>
      <c r="G139" s="192" t="str">
        <f ca="1">IF(Ruimtestaat!G139&gt;0,Schoonmaaknormen!BW139*calculatietarief,"")</f>
        <v/>
      </c>
      <c r="H139" s="192" t="str">
        <f ca="1">IF(Ruimtestaat!H139&gt;0,Schoonmaaknormen!BX139*calculatietarief,"")</f>
        <v/>
      </c>
      <c r="I139" s="193" t="str">
        <f ca="1">IF(Ruimtestaat!I139&gt;0,Schoonmaaknormen!BY139*calculatietarief,"")</f>
        <v/>
      </c>
      <c r="J139" s="193" t="str">
        <f ca="1">IF(Ruimtestaat!J139&gt;0,Schoonmaaknormen!BZ139*calculatietarief,"")</f>
        <v/>
      </c>
      <c r="K139" s="581"/>
      <c r="L139" s="529"/>
      <c r="M139" s="172" t="b">
        <f>IF(_xlfn.XLOOKUP(Schoonmaaknormen!BB139,Tabel2[Locatiecode],Tabel2[Type locatie],"",0)="vaccin",TRUE,FALSE)</f>
        <v>0</v>
      </c>
    </row>
    <row r="140" spans="1:13" ht="0.2" customHeight="1" x14ac:dyDescent="0.2">
      <c r="A140" s="172">
        <f ca="1">Ruimtestaat!A140</f>
        <v>2</v>
      </c>
      <c r="B140" s="532"/>
      <c r="C140" s="10">
        <v>4</v>
      </c>
      <c r="D140" s="194" t="str">
        <f ca="1">IF(Ruimtestaat!D140&gt;0,Schoonmaaknormen!BT140*calculatietarief,"")</f>
        <v/>
      </c>
      <c r="E140" s="192" t="str">
        <f ca="1">IF(Ruimtestaat!E140&gt;0,Schoonmaaknormen!BU140*calculatietarief,"")</f>
        <v/>
      </c>
      <c r="F140" s="192" t="str">
        <f ca="1">IF(Ruimtestaat!F140&gt;0,Schoonmaaknormen!BV140*calculatietarief,"")</f>
        <v/>
      </c>
      <c r="G140" s="192" t="str">
        <f ca="1">IF(Ruimtestaat!G140&gt;0,Schoonmaaknormen!BW140*calculatietarief,"")</f>
        <v/>
      </c>
      <c r="H140" s="192" t="str">
        <f ca="1">IF(Ruimtestaat!H140&gt;0,Schoonmaaknormen!BX140*calculatietarief,"")</f>
        <v/>
      </c>
      <c r="I140" s="193" t="str">
        <f ca="1">IF(Ruimtestaat!I140&gt;0,Schoonmaaknormen!BY140*calculatietarief,"")</f>
        <v/>
      </c>
      <c r="J140" s="193" t="str">
        <f ca="1">IF(Ruimtestaat!J140&gt;0,Schoonmaaknormen!BZ140*calculatietarief,"")</f>
        <v/>
      </c>
      <c r="K140" s="581" t="str">
        <f>IF(Ruimtestaat!K140&gt;0,Schoonmaaknormen!CA140*calculatietarief,"")</f>
        <v/>
      </c>
      <c r="L140" s="529"/>
      <c r="M140" s="172" t="b">
        <f>IF(_xlfn.XLOOKUP(Schoonmaaknormen!BB140,Tabel2[Locatiecode],Tabel2[Type locatie],"",0)="vaccin",TRUE,FALSE)</f>
        <v>0</v>
      </c>
    </row>
    <row r="141" spans="1:13" ht="0.2" customHeight="1" x14ac:dyDescent="0.2">
      <c r="A141" s="172">
        <f ca="1">Ruimtestaat!A141</f>
        <v>2</v>
      </c>
      <c r="B141" s="532" t="str">
        <f>Schoonmaaknormen!BB141</f>
        <v>MDM-AGP</v>
      </c>
      <c r="C141" s="10">
        <v>255</v>
      </c>
      <c r="D141" s="190" t="str">
        <f>IF(Ruimtestaat!D141&gt;0,Schoonmaaknormen!BT141*calculatietarief,"")</f>
        <v/>
      </c>
      <c r="E141" s="191" t="str">
        <f>IF(Ruimtestaat!E141&gt;0,Schoonmaaknormen!BU141*calculatietarief,"")</f>
        <v/>
      </c>
      <c r="F141" s="192" t="str">
        <f>IF(Ruimtestaat!F141&gt;0,Schoonmaaknormen!BV141*calculatietarief,"")</f>
        <v/>
      </c>
      <c r="G141" s="191" t="str">
        <f>IF(Ruimtestaat!G141&gt;0,Schoonmaaknormen!BW141*calculatietarief,"")</f>
        <v/>
      </c>
      <c r="H141" s="191" t="str">
        <f>IF(Ruimtestaat!H141&gt;0,Schoonmaaknormen!BX141*calculatietarief,"")</f>
        <v/>
      </c>
      <c r="I141" s="193" t="str">
        <f>IF(Ruimtestaat!I141&gt;0,Schoonmaaknormen!BY141*calculatietarief,"")</f>
        <v/>
      </c>
      <c r="J141" s="193" t="str">
        <f>IF(Ruimtestaat!J141&gt;0,Schoonmaaknormen!BZ141*calculatietarief,"")</f>
        <v/>
      </c>
      <c r="K141" s="580" t="str">
        <f>IF(Schoonmaaknormen!K141&gt;0,Schoonmaaknormen!CA141*calculatietarief,"")</f>
        <v/>
      </c>
      <c r="L141" s="528">
        <f>SUM(D141:K146)</f>
        <v>0</v>
      </c>
      <c r="M141" s="172" t="b">
        <f>IF(_xlfn.XLOOKUP(Schoonmaaknormen!BB141,Tabel2[Locatiecode],Tabel2[Type locatie],"",0)="vaccin",TRUE,FALSE)</f>
        <v>1</v>
      </c>
    </row>
    <row r="142" spans="1:13" ht="0.2" customHeight="1" x14ac:dyDescent="0.2">
      <c r="A142" s="172">
        <f ca="1">Ruimtestaat!A142</f>
        <v>2</v>
      </c>
      <c r="B142" s="532"/>
      <c r="C142" s="10">
        <v>204</v>
      </c>
      <c r="D142" s="190" t="str">
        <f>IF(Ruimtestaat!D142&gt;0,Schoonmaaknormen!BT142*calculatietarief,"")</f>
        <v/>
      </c>
      <c r="E142" s="191" t="str">
        <f>IF(Ruimtestaat!E142&gt;0,Schoonmaaknormen!BU142*calculatietarief,"")</f>
        <v/>
      </c>
      <c r="F142" s="192" t="str">
        <f>IF(Ruimtestaat!F142&gt;0,Schoonmaaknormen!BV142*calculatietarief,"")</f>
        <v/>
      </c>
      <c r="G142" s="191" t="str">
        <f>IF(Ruimtestaat!G142&gt;0,Schoonmaaknormen!BW142*calculatietarief,"")</f>
        <v/>
      </c>
      <c r="H142" s="191" t="str">
        <f>IF(Ruimtestaat!H142&gt;0,Schoonmaaknormen!BX142*calculatietarief,"")</f>
        <v/>
      </c>
      <c r="I142" s="193" t="str">
        <f>IF(Ruimtestaat!I142&gt;0,Schoonmaaknormen!BY142*calculatietarief,"")</f>
        <v/>
      </c>
      <c r="J142" s="193" t="str">
        <f>IF(Ruimtestaat!J142&gt;0,Schoonmaaknormen!BZ142*calculatietarief,"")</f>
        <v/>
      </c>
      <c r="K142" s="580"/>
      <c r="L142" s="528"/>
      <c r="M142" s="172" t="b">
        <f>IF(_xlfn.XLOOKUP(Schoonmaaknormen!BB142,Tabel2[Locatiecode],Tabel2[Type locatie],"",0)="vaccin",TRUE,FALSE)</f>
        <v>1</v>
      </c>
    </row>
    <row r="143" spans="1:13" ht="0.2" customHeight="1" x14ac:dyDescent="0.2">
      <c r="A143" s="172">
        <f ca="1">Ruimtestaat!A143</f>
        <v>2</v>
      </c>
      <c r="B143" s="532"/>
      <c r="C143" s="10">
        <v>156</v>
      </c>
      <c r="D143" s="190" t="str">
        <f>IF(Ruimtestaat!D143&gt;0,Schoonmaaknormen!BT143*calculatietarief,"")</f>
        <v/>
      </c>
      <c r="E143" s="191" t="str">
        <f>IF(Ruimtestaat!E143&gt;0,Schoonmaaknormen!BU143*calculatietarief,"")</f>
        <v/>
      </c>
      <c r="F143" s="192" t="str">
        <f>IF(Ruimtestaat!F143&gt;0,Schoonmaaknormen!BV143*calculatietarief,"")</f>
        <v/>
      </c>
      <c r="G143" s="191" t="str">
        <f>IF(Ruimtestaat!G143&gt;0,Schoonmaaknormen!BW143*calculatietarief,"")</f>
        <v/>
      </c>
      <c r="H143" s="191" t="str">
        <f>IF(Ruimtestaat!H143&gt;0,Schoonmaaknormen!BX143*calculatietarief,"")</f>
        <v/>
      </c>
      <c r="I143" s="193" t="str">
        <f>IF(Ruimtestaat!I143&gt;0,Schoonmaaknormen!BY143*calculatietarief,"")</f>
        <v/>
      </c>
      <c r="J143" s="193" t="str">
        <f>IF(Ruimtestaat!J143&gt;0,Schoonmaaknormen!BZ143*calculatietarief,"")</f>
        <v/>
      </c>
      <c r="K143" s="580"/>
      <c r="L143" s="528"/>
      <c r="M143" s="172" t="b">
        <f>IF(_xlfn.XLOOKUP(Schoonmaaknormen!BB143,Tabel2[Locatiecode],Tabel2[Type locatie],"",0)="vaccin",TRUE,FALSE)</f>
        <v>1</v>
      </c>
    </row>
    <row r="144" spans="1:13" ht="0.2" customHeight="1" x14ac:dyDescent="0.2">
      <c r="A144" s="172">
        <f ca="1">Ruimtestaat!A144</f>
        <v>2</v>
      </c>
      <c r="B144" s="532"/>
      <c r="C144" s="10">
        <v>104</v>
      </c>
      <c r="D144" s="194" t="str">
        <f>IF(Ruimtestaat!D144&gt;0,Schoonmaaknormen!BT144*calculatietarief,"")</f>
        <v/>
      </c>
      <c r="E144" s="192" t="str">
        <f>IF(Ruimtestaat!E144&gt;0,Schoonmaaknormen!BU144*calculatietarief,"")</f>
        <v/>
      </c>
      <c r="F144" s="192" t="str">
        <f>IF(Ruimtestaat!F144&gt;0,Schoonmaaknormen!BV144*calculatietarief,"")</f>
        <v/>
      </c>
      <c r="G144" s="192" t="str">
        <f>IF(Ruimtestaat!G144&gt;0,Schoonmaaknormen!BW144*calculatietarief,"")</f>
        <v/>
      </c>
      <c r="H144" s="192" t="str">
        <f>IF(Ruimtestaat!H144&gt;0,Schoonmaaknormen!BX144*calculatietarief,"")</f>
        <v/>
      </c>
      <c r="I144" s="193" t="str">
        <f>IF(Ruimtestaat!I144&gt;0,Schoonmaaknormen!BY144*calculatietarief,"")</f>
        <v/>
      </c>
      <c r="J144" s="193" t="str">
        <f>IF(Ruimtestaat!J144&gt;0,Schoonmaaknormen!BZ144*calculatietarief,"")</f>
        <v/>
      </c>
      <c r="K144" s="581" t="str">
        <f>IF(Ruimtestaat!K143&gt;0,Schoonmaaknormen!CA144*calculatietarief,"")</f>
        <v/>
      </c>
      <c r="L144" s="529"/>
      <c r="M144" s="172" t="b">
        <f>IF(_xlfn.XLOOKUP(Schoonmaaknormen!BB144,Tabel2[Locatiecode],Tabel2[Type locatie],"",0)="vaccin",TRUE,FALSE)</f>
        <v>1</v>
      </c>
    </row>
    <row r="145" spans="1:13" ht="0.2" customHeight="1" x14ac:dyDescent="0.2">
      <c r="A145" s="172">
        <f ca="1">Ruimtestaat!A145</f>
        <v>2</v>
      </c>
      <c r="B145" s="532"/>
      <c r="C145" s="10">
        <v>52</v>
      </c>
      <c r="D145" s="194" t="str">
        <f>IF(Ruimtestaat!D145&gt;0,Schoonmaaknormen!BT145*calculatietarief,"")</f>
        <v/>
      </c>
      <c r="E145" s="192" t="str">
        <f>IF(Ruimtestaat!E145&gt;0,Schoonmaaknormen!BU145*calculatietarief,"")</f>
        <v/>
      </c>
      <c r="F145" s="192" t="str">
        <f>IF(Ruimtestaat!F145&gt;0,Schoonmaaknormen!BV145*calculatietarief,"")</f>
        <v/>
      </c>
      <c r="G145" s="192" t="str">
        <f>IF(Ruimtestaat!G145&gt;0,Schoonmaaknormen!BW145*calculatietarief,"")</f>
        <v/>
      </c>
      <c r="H145" s="192" t="str">
        <f>IF(Ruimtestaat!H145&gt;0,Schoonmaaknormen!BX145*calculatietarief,"")</f>
        <v/>
      </c>
      <c r="I145" s="193" t="str">
        <f>IF(Ruimtestaat!I145&gt;0,Schoonmaaknormen!BY145*calculatietarief,"")</f>
        <v/>
      </c>
      <c r="J145" s="193" t="str">
        <f>IF(Ruimtestaat!J145&gt;0,Schoonmaaknormen!BZ145*calculatietarief,"")</f>
        <v/>
      </c>
      <c r="K145" s="581"/>
      <c r="L145" s="529"/>
      <c r="M145" s="172" t="b">
        <f>IF(_xlfn.XLOOKUP(Schoonmaaknormen!BB145,Tabel2[Locatiecode],Tabel2[Type locatie],"",0)="vaccin",TRUE,FALSE)</f>
        <v>1</v>
      </c>
    </row>
    <row r="146" spans="1:13" ht="0.2" customHeight="1" x14ac:dyDescent="0.2">
      <c r="A146" s="172">
        <f ca="1">Ruimtestaat!A146</f>
        <v>2</v>
      </c>
      <c r="B146" s="532"/>
      <c r="C146" s="10">
        <v>4</v>
      </c>
      <c r="D146" s="194" t="str">
        <f>IF(Ruimtestaat!D146&gt;0,Schoonmaaknormen!BT146*calculatietarief,"")</f>
        <v/>
      </c>
      <c r="E146" s="192" t="str">
        <f>IF(Ruimtestaat!E146&gt;0,Schoonmaaknormen!BU146*calculatietarief,"")</f>
        <v/>
      </c>
      <c r="F146" s="192" t="str">
        <f>IF(Ruimtestaat!F146&gt;0,Schoonmaaknormen!BV146*calculatietarief,"")</f>
        <v/>
      </c>
      <c r="G146" s="192" t="str">
        <f>IF(Ruimtestaat!G146&gt;0,Schoonmaaknormen!BW146*calculatietarief,"")</f>
        <v/>
      </c>
      <c r="H146" s="192" t="str">
        <f>IF(Ruimtestaat!H146&gt;0,Schoonmaaknormen!BX146*calculatietarief,"")</f>
        <v/>
      </c>
      <c r="I146" s="193" t="str">
        <f>IF(Ruimtestaat!I146&gt;0,Schoonmaaknormen!BY146*calculatietarief,"")</f>
        <v/>
      </c>
      <c r="J146" s="193" t="str">
        <f>IF(Ruimtestaat!J146&gt;0,Schoonmaaknormen!BZ146*calculatietarief,"")</f>
        <v/>
      </c>
      <c r="K146" s="581" t="str">
        <f>IF(Ruimtestaat!K146&gt;0,Schoonmaaknormen!CA146*calculatietarief,"")</f>
        <v/>
      </c>
      <c r="L146" s="529"/>
      <c r="M146" s="172" t="b">
        <f>IF(_xlfn.XLOOKUP(Schoonmaaknormen!BB146,Tabel2[Locatiecode],Tabel2[Type locatie],"",0)="vaccin",TRUE,FALSE)</f>
        <v>1</v>
      </c>
    </row>
    <row r="147" spans="1:13" ht="15" customHeight="1" x14ac:dyDescent="0.2">
      <c r="A147" s="172">
        <f ca="1">Ruimtestaat!A147</f>
        <v>1</v>
      </c>
      <c r="B147" s="532" t="str">
        <f>Schoonmaaknormen!BB147</f>
        <v>MDM-POS</v>
      </c>
      <c r="C147" s="10">
        <v>255</v>
      </c>
      <c r="D147" s="190">
        <f ca="1">IF(Ruimtestaat!D147&gt;0,Schoonmaaknormen!BT147*calculatietarief,"")</f>
        <v>0</v>
      </c>
      <c r="E147" s="191">
        <f ca="1">IF(Ruimtestaat!E147&gt;0,Schoonmaaknormen!BU147*calculatietarief,"")</f>
        <v>0</v>
      </c>
      <c r="F147" s="192">
        <f ca="1">IF(Ruimtestaat!F147&gt;0,Schoonmaaknormen!BV147*calculatietarief,"")</f>
        <v>0</v>
      </c>
      <c r="G147" s="191" t="str">
        <f ca="1">IF(Ruimtestaat!G147&gt;0,Schoonmaaknormen!BW147*calculatietarief,"")</f>
        <v/>
      </c>
      <c r="H147" s="191">
        <f ca="1">IF(Ruimtestaat!H147&gt;0,Schoonmaaknormen!BX147*calculatietarief,"")</f>
        <v>0</v>
      </c>
      <c r="I147" s="193">
        <f ca="1">IF(Ruimtestaat!I147&gt;0,Schoonmaaknormen!BY147*calculatietarief,"")</f>
        <v>0</v>
      </c>
      <c r="J147" s="193" t="str">
        <f ca="1">IF(Ruimtestaat!J147&gt;0,Schoonmaaknormen!BZ147*calculatietarief,"")</f>
        <v/>
      </c>
      <c r="K147" s="580" t="str">
        <f>IF(Schoonmaaknormen!K147&gt;0,Schoonmaaknormen!CA147*calculatietarief,"")</f>
        <v/>
      </c>
      <c r="L147" s="528">
        <f ca="1">SUM(D147:K152)</f>
        <v>0</v>
      </c>
      <c r="M147" s="172" t="b">
        <f>IF(_xlfn.XLOOKUP(Schoonmaaknormen!BB147,Tabel2[Locatiecode],Tabel2[Type locatie],"",0)="vaccin",TRUE,FALSE)</f>
        <v>0</v>
      </c>
    </row>
    <row r="148" spans="1:13" ht="0.2" customHeight="1" x14ac:dyDescent="0.2">
      <c r="A148" s="172">
        <f ca="1">Ruimtestaat!A148</f>
        <v>2</v>
      </c>
      <c r="B148" s="532"/>
      <c r="C148" s="10">
        <v>204</v>
      </c>
      <c r="D148" s="190" t="str">
        <f ca="1">IF(Ruimtestaat!D148&gt;0,Schoonmaaknormen!BT148*calculatietarief,"")</f>
        <v/>
      </c>
      <c r="E148" s="191" t="str">
        <f ca="1">IF(Ruimtestaat!E148&gt;0,Schoonmaaknormen!BU148*calculatietarief,"")</f>
        <v/>
      </c>
      <c r="F148" s="192" t="str">
        <f ca="1">IF(Ruimtestaat!F148&gt;0,Schoonmaaknormen!BV148*calculatietarief,"")</f>
        <v/>
      </c>
      <c r="G148" s="191" t="str">
        <f ca="1">IF(Ruimtestaat!G148&gt;0,Schoonmaaknormen!BW148*calculatietarief,"")</f>
        <v/>
      </c>
      <c r="H148" s="191" t="str">
        <f ca="1">IF(Ruimtestaat!H148&gt;0,Schoonmaaknormen!BX148*calculatietarief,"")</f>
        <v/>
      </c>
      <c r="I148" s="193" t="str">
        <f ca="1">IF(Ruimtestaat!I148&gt;0,Schoonmaaknormen!BY148*calculatietarief,"")</f>
        <v/>
      </c>
      <c r="J148" s="193" t="str">
        <f ca="1">IF(Ruimtestaat!J148&gt;0,Schoonmaaknormen!BZ148*calculatietarief,"")</f>
        <v/>
      </c>
      <c r="K148" s="580"/>
      <c r="L148" s="528"/>
      <c r="M148" s="172" t="b">
        <f>IF(_xlfn.XLOOKUP(Schoonmaaknormen!BB148,Tabel2[Locatiecode],Tabel2[Type locatie],"",0)="vaccin",TRUE,FALSE)</f>
        <v>0</v>
      </c>
    </row>
    <row r="149" spans="1:13" ht="0.2" customHeight="1" x14ac:dyDescent="0.2">
      <c r="A149" s="172">
        <f ca="1">Ruimtestaat!A149</f>
        <v>2</v>
      </c>
      <c r="B149" s="532"/>
      <c r="C149" s="10">
        <v>156</v>
      </c>
      <c r="D149" s="190" t="str">
        <f ca="1">IF(Ruimtestaat!D149&gt;0,Schoonmaaknormen!BT149*calculatietarief,"")</f>
        <v/>
      </c>
      <c r="E149" s="191" t="str">
        <f ca="1">IF(Ruimtestaat!E149&gt;0,Schoonmaaknormen!BU149*calculatietarief,"")</f>
        <v/>
      </c>
      <c r="F149" s="192" t="str">
        <f ca="1">IF(Ruimtestaat!F149&gt;0,Schoonmaaknormen!BV149*calculatietarief,"")</f>
        <v/>
      </c>
      <c r="G149" s="191" t="str">
        <f ca="1">IF(Ruimtestaat!G149&gt;0,Schoonmaaknormen!BW149*calculatietarief,"")</f>
        <v/>
      </c>
      <c r="H149" s="191" t="str">
        <f ca="1">IF(Ruimtestaat!H149&gt;0,Schoonmaaknormen!BX149*calculatietarief,"")</f>
        <v/>
      </c>
      <c r="I149" s="193" t="str">
        <f ca="1">IF(Ruimtestaat!I149&gt;0,Schoonmaaknormen!BY149*calculatietarief,"")</f>
        <v/>
      </c>
      <c r="J149" s="193" t="str">
        <f ca="1">IF(Ruimtestaat!J149&gt;0,Schoonmaaknormen!BZ149*calculatietarief,"")</f>
        <v/>
      </c>
      <c r="K149" s="580"/>
      <c r="L149" s="528"/>
      <c r="M149" s="172" t="b">
        <f>IF(_xlfn.XLOOKUP(Schoonmaaknormen!BB149,Tabel2[Locatiecode],Tabel2[Type locatie],"",0)="vaccin",TRUE,FALSE)</f>
        <v>0</v>
      </c>
    </row>
    <row r="150" spans="1:13" ht="0.2" customHeight="1" x14ac:dyDescent="0.2">
      <c r="A150" s="172">
        <f ca="1">Ruimtestaat!A150</f>
        <v>2</v>
      </c>
      <c r="B150" s="532"/>
      <c r="C150" s="10">
        <v>104</v>
      </c>
      <c r="D150" s="194" t="str">
        <f ca="1">IF(Ruimtestaat!D150&gt;0,Schoonmaaknormen!BT150*calculatietarief,"")</f>
        <v/>
      </c>
      <c r="E150" s="192" t="str">
        <f ca="1">IF(Ruimtestaat!E150&gt;0,Schoonmaaknormen!BU150*calculatietarief,"")</f>
        <v/>
      </c>
      <c r="F150" s="192" t="str">
        <f ca="1">IF(Ruimtestaat!F150&gt;0,Schoonmaaknormen!BV150*calculatietarief,"")</f>
        <v/>
      </c>
      <c r="G150" s="192" t="str">
        <f ca="1">IF(Ruimtestaat!G150&gt;0,Schoonmaaknormen!BW150*calculatietarief,"")</f>
        <v/>
      </c>
      <c r="H150" s="192" t="str">
        <f ca="1">IF(Ruimtestaat!H150&gt;0,Schoonmaaknormen!BX150*calculatietarief,"")</f>
        <v/>
      </c>
      <c r="I150" s="193" t="str">
        <f ca="1">IF(Ruimtestaat!I150&gt;0,Schoonmaaknormen!BY150*calculatietarief,"")</f>
        <v/>
      </c>
      <c r="J150" s="193" t="str">
        <f ca="1">IF(Ruimtestaat!J150&gt;0,Schoonmaaknormen!BZ150*calculatietarief,"")</f>
        <v/>
      </c>
      <c r="K150" s="581" t="str">
        <f>IF(Ruimtestaat!K149&gt;0,Schoonmaaknormen!CA150*calculatietarief,"")</f>
        <v/>
      </c>
      <c r="L150" s="529"/>
      <c r="M150" s="172" t="b">
        <f>IF(_xlfn.XLOOKUP(Schoonmaaknormen!BB150,Tabel2[Locatiecode],Tabel2[Type locatie],"",0)="vaccin",TRUE,FALSE)</f>
        <v>0</v>
      </c>
    </row>
    <row r="151" spans="1:13" ht="0.2" customHeight="1" x14ac:dyDescent="0.2">
      <c r="A151" s="172">
        <f ca="1">Ruimtestaat!A151</f>
        <v>2</v>
      </c>
      <c r="B151" s="532"/>
      <c r="C151" s="10">
        <v>52</v>
      </c>
      <c r="D151" s="194" t="str">
        <f ca="1">IF(Ruimtestaat!D151&gt;0,Schoonmaaknormen!BT151*calculatietarief,"")</f>
        <v/>
      </c>
      <c r="E151" s="192" t="str">
        <f ca="1">IF(Ruimtestaat!E151&gt;0,Schoonmaaknormen!BU151*calculatietarief,"")</f>
        <v/>
      </c>
      <c r="F151" s="192" t="str">
        <f ca="1">IF(Ruimtestaat!F151&gt;0,Schoonmaaknormen!BV151*calculatietarief,"")</f>
        <v/>
      </c>
      <c r="G151" s="192" t="str">
        <f ca="1">IF(Ruimtestaat!G151&gt;0,Schoonmaaknormen!BW151*calculatietarief,"")</f>
        <v/>
      </c>
      <c r="H151" s="192" t="str">
        <f ca="1">IF(Ruimtestaat!H151&gt;0,Schoonmaaknormen!BX151*calculatietarief,"")</f>
        <v/>
      </c>
      <c r="I151" s="193" t="str">
        <f ca="1">IF(Ruimtestaat!I151&gt;0,Schoonmaaknormen!BY151*calculatietarief,"")</f>
        <v/>
      </c>
      <c r="J151" s="193" t="str">
        <f ca="1">IF(Ruimtestaat!J151&gt;0,Schoonmaaknormen!BZ151*calculatietarief,"")</f>
        <v/>
      </c>
      <c r="K151" s="581"/>
      <c r="L151" s="529"/>
      <c r="M151" s="172" t="b">
        <f>IF(_xlfn.XLOOKUP(Schoonmaaknormen!BB151,Tabel2[Locatiecode],Tabel2[Type locatie],"",0)="vaccin",TRUE,FALSE)</f>
        <v>0</v>
      </c>
    </row>
    <row r="152" spans="1:13" ht="0.2" customHeight="1" x14ac:dyDescent="0.2">
      <c r="A152" s="172">
        <f ca="1">Ruimtestaat!A152</f>
        <v>2</v>
      </c>
      <c r="B152" s="532"/>
      <c r="C152" s="10">
        <v>4</v>
      </c>
      <c r="D152" s="194" t="str">
        <f ca="1">IF(Ruimtestaat!D152&gt;0,Schoonmaaknormen!BT152*calculatietarief,"")</f>
        <v/>
      </c>
      <c r="E152" s="192" t="str">
        <f ca="1">IF(Ruimtestaat!E152&gt;0,Schoonmaaknormen!BU152*calculatietarief,"")</f>
        <v/>
      </c>
      <c r="F152" s="192" t="str">
        <f ca="1">IF(Ruimtestaat!F152&gt;0,Schoonmaaknormen!BV152*calculatietarief,"")</f>
        <v/>
      </c>
      <c r="G152" s="192" t="str">
        <f ca="1">IF(Ruimtestaat!G152&gt;0,Schoonmaaknormen!BW152*calculatietarief,"")</f>
        <v/>
      </c>
      <c r="H152" s="192" t="str">
        <f ca="1">IF(Ruimtestaat!H152&gt;0,Schoonmaaknormen!BX152*calculatietarief,"")</f>
        <v/>
      </c>
      <c r="I152" s="193" t="str">
        <f ca="1">IF(Ruimtestaat!I152&gt;0,Schoonmaaknormen!BY152*calculatietarief,"")</f>
        <v/>
      </c>
      <c r="J152" s="193" t="str">
        <f ca="1">IF(Ruimtestaat!J152&gt;0,Schoonmaaknormen!BZ152*calculatietarief,"")</f>
        <v/>
      </c>
      <c r="K152" s="581" t="str">
        <f>IF(Ruimtestaat!K152&gt;0,Schoonmaaknormen!CA152*calculatietarief,"")</f>
        <v/>
      </c>
      <c r="L152" s="529"/>
      <c r="M152" s="172" t="b">
        <f>IF(_xlfn.XLOOKUP(Schoonmaaknormen!BB152,Tabel2[Locatiecode],Tabel2[Type locatie],"",0)="vaccin",TRUE,FALSE)</f>
        <v>0</v>
      </c>
    </row>
    <row r="153" spans="1:13" ht="15" customHeight="1" x14ac:dyDescent="0.2">
      <c r="A153" s="172">
        <f ca="1">Ruimtestaat!A153</f>
        <v>1</v>
      </c>
      <c r="B153" s="532" t="str">
        <f>Schoonmaaknormen!BB153</f>
        <v>NND-DMT</v>
      </c>
      <c r="C153" s="10">
        <v>255</v>
      </c>
      <c r="D153" s="190">
        <f ca="1">IF(Ruimtestaat!D153&gt;0,Schoonmaaknormen!BT153*calculatietarief,"")</f>
        <v>0</v>
      </c>
      <c r="E153" s="191">
        <f ca="1">IF(Ruimtestaat!E153&gt;0,Schoonmaaknormen!BU153*calculatietarief,"")</f>
        <v>0</v>
      </c>
      <c r="F153" s="192">
        <f ca="1">IF(Ruimtestaat!F153&gt;0,Schoonmaaknormen!BV153*calculatietarief,"")</f>
        <v>0</v>
      </c>
      <c r="G153" s="191">
        <f ca="1">IF(Ruimtestaat!G153&gt;0,Schoonmaaknormen!BW153*calculatietarief,"")</f>
        <v>0</v>
      </c>
      <c r="H153" s="191">
        <f ca="1">IF(Ruimtestaat!H153&gt;0,Schoonmaaknormen!BX153*calculatietarief,"")</f>
        <v>0</v>
      </c>
      <c r="I153" s="193" t="str">
        <f ca="1">IF(Ruimtestaat!I153&gt;0,Schoonmaaknormen!BY153*calculatietarief,"")</f>
        <v/>
      </c>
      <c r="J153" s="193" t="str">
        <f ca="1">IF(Ruimtestaat!J153&gt;0,Schoonmaaknormen!BZ153*calculatietarief,"")</f>
        <v/>
      </c>
      <c r="K153" s="580" t="str">
        <f>IF(Schoonmaaknormen!K153&gt;0,Schoonmaaknormen!CA153*calculatietarief,"")</f>
        <v/>
      </c>
      <c r="L153" s="528">
        <f ca="1">SUM(D153:K158)</f>
        <v>0</v>
      </c>
      <c r="M153" s="172" t="b">
        <f>IF(_xlfn.XLOOKUP(Schoonmaaknormen!BB153,Tabel2[Locatiecode],Tabel2[Type locatie],"",0)="vaccin",TRUE,FALSE)</f>
        <v>0</v>
      </c>
    </row>
    <row r="154" spans="1:13" ht="0.2" customHeight="1" x14ac:dyDescent="0.2">
      <c r="A154" s="172">
        <f ca="1">Ruimtestaat!A154</f>
        <v>0</v>
      </c>
      <c r="B154" s="532"/>
      <c r="C154" s="10">
        <v>204</v>
      </c>
      <c r="D154" s="190" t="str">
        <f ca="1">IF(Ruimtestaat!D154&gt;0,Schoonmaaknormen!BT154*calculatietarief,"")</f>
        <v/>
      </c>
      <c r="E154" s="191" t="str">
        <f ca="1">IF(Ruimtestaat!E154&gt;0,Schoonmaaknormen!BU154*calculatietarief,"")</f>
        <v/>
      </c>
      <c r="F154" s="192" t="str">
        <f ca="1">IF(Ruimtestaat!F154&gt;0,Schoonmaaknormen!BV154*calculatietarief,"")</f>
        <v/>
      </c>
      <c r="G154" s="191" t="str">
        <f ca="1">IF(Ruimtestaat!G154&gt;0,Schoonmaaknormen!BW154*calculatietarief,"")</f>
        <v/>
      </c>
      <c r="H154" s="191" t="str">
        <f ca="1">IF(Ruimtestaat!H154&gt;0,Schoonmaaknormen!BX154*calculatietarief,"")</f>
        <v/>
      </c>
      <c r="I154" s="193" t="str">
        <f ca="1">IF(Ruimtestaat!I154&gt;0,Schoonmaaknormen!BY154*calculatietarief,"")</f>
        <v/>
      </c>
      <c r="J154" s="193" t="str">
        <f ca="1">IF(Ruimtestaat!J154&gt;0,Schoonmaaknormen!BZ154*calculatietarief,"")</f>
        <v/>
      </c>
      <c r="K154" s="580"/>
      <c r="L154" s="528"/>
      <c r="M154" s="172" t="b">
        <f>IF(_xlfn.XLOOKUP(Schoonmaaknormen!BB154,Tabel2[Locatiecode],Tabel2[Type locatie],"",0)="vaccin",TRUE,FALSE)</f>
        <v>0</v>
      </c>
    </row>
    <row r="155" spans="1:13" ht="0.2" customHeight="1" x14ac:dyDescent="0.2">
      <c r="A155" s="172">
        <f ca="1">Ruimtestaat!A155</f>
        <v>0</v>
      </c>
      <c r="B155" s="532"/>
      <c r="C155" s="10">
        <v>156</v>
      </c>
      <c r="D155" s="190" t="str">
        <f ca="1">IF(Ruimtestaat!D155&gt;0,Schoonmaaknormen!BT155*calculatietarief,"")</f>
        <v/>
      </c>
      <c r="E155" s="191" t="str">
        <f ca="1">IF(Ruimtestaat!E155&gt;0,Schoonmaaknormen!BU155*calculatietarief,"")</f>
        <v/>
      </c>
      <c r="F155" s="192" t="str">
        <f ca="1">IF(Ruimtestaat!F155&gt;0,Schoonmaaknormen!BV155*calculatietarief,"")</f>
        <v/>
      </c>
      <c r="G155" s="191" t="str">
        <f ca="1">IF(Ruimtestaat!G155&gt;0,Schoonmaaknormen!BW155*calculatietarief,"")</f>
        <v/>
      </c>
      <c r="H155" s="191" t="str">
        <f ca="1">IF(Ruimtestaat!H155&gt;0,Schoonmaaknormen!BX155*calculatietarief,"")</f>
        <v/>
      </c>
      <c r="I155" s="193" t="str">
        <f ca="1">IF(Ruimtestaat!I155&gt;0,Schoonmaaknormen!BY155*calculatietarief,"")</f>
        <v/>
      </c>
      <c r="J155" s="193" t="str">
        <f ca="1">IF(Ruimtestaat!J155&gt;0,Schoonmaaknormen!BZ155*calculatietarief,"")</f>
        <v/>
      </c>
      <c r="K155" s="580"/>
      <c r="L155" s="528"/>
      <c r="M155" s="172" t="b">
        <f>IF(_xlfn.XLOOKUP(Schoonmaaknormen!BB155,Tabel2[Locatiecode],Tabel2[Type locatie],"",0)="vaccin",TRUE,FALSE)</f>
        <v>0</v>
      </c>
    </row>
    <row r="156" spans="1:13" ht="0.2" customHeight="1" x14ac:dyDescent="0.2">
      <c r="A156" s="172">
        <f ca="1">Ruimtestaat!A156</f>
        <v>0</v>
      </c>
      <c r="B156" s="532"/>
      <c r="C156" s="10">
        <v>104</v>
      </c>
      <c r="D156" s="194" t="str">
        <f ca="1">IF(Ruimtestaat!D156&gt;0,Schoonmaaknormen!BT156*calculatietarief,"")</f>
        <v/>
      </c>
      <c r="E156" s="192" t="str">
        <f ca="1">IF(Ruimtestaat!E156&gt;0,Schoonmaaknormen!BU156*calculatietarief,"")</f>
        <v/>
      </c>
      <c r="F156" s="192" t="str">
        <f ca="1">IF(Ruimtestaat!F156&gt;0,Schoonmaaknormen!BV156*calculatietarief,"")</f>
        <v/>
      </c>
      <c r="G156" s="192" t="str">
        <f ca="1">IF(Ruimtestaat!G156&gt;0,Schoonmaaknormen!BW156*calculatietarief,"")</f>
        <v/>
      </c>
      <c r="H156" s="192" t="str">
        <f ca="1">IF(Ruimtestaat!H156&gt;0,Schoonmaaknormen!BX156*calculatietarief,"")</f>
        <v/>
      </c>
      <c r="I156" s="193" t="str">
        <f ca="1">IF(Ruimtestaat!I156&gt;0,Schoonmaaknormen!BY156*calculatietarief,"")</f>
        <v/>
      </c>
      <c r="J156" s="193" t="str">
        <f ca="1">IF(Ruimtestaat!J156&gt;0,Schoonmaaknormen!BZ156*calculatietarief,"")</f>
        <v/>
      </c>
      <c r="K156" s="581" t="str">
        <f>IF(Ruimtestaat!K155&gt;0,Schoonmaaknormen!CA156*calculatietarief,"")</f>
        <v/>
      </c>
      <c r="L156" s="529"/>
      <c r="M156" s="172" t="b">
        <f>IF(_xlfn.XLOOKUP(Schoonmaaknormen!BB156,Tabel2[Locatiecode],Tabel2[Type locatie],"",0)="vaccin",TRUE,FALSE)</f>
        <v>0</v>
      </c>
    </row>
    <row r="157" spans="1:13" ht="0.2" customHeight="1" x14ac:dyDescent="0.2">
      <c r="A157" s="172">
        <f ca="1">Ruimtestaat!A157</f>
        <v>0</v>
      </c>
      <c r="B157" s="532"/>
      <c r="C157" s="10">
        <v>52</v>
      </c>
      <c r="D157" s="194" t="str">
        <f ca="1">IF(Ruimtestaat!D157&gt;0,Schoonmaaknormen!BT157*calculatietarief,"")</f>
        <v/>
      </c>
      <c r="E157" s="192" t="str">
        <f ca="1">IF(Ruimtestaat!E157&gt;0,Schoonmaaknormen!BU157*calculatietarief,"")</f>
        <v/>
      </c>
      <c r="F157" s="192" t="str">
        <f ca="1">IF(Ruimtestaat!F157&gt;0,Schoonmaaknormen!BV157*calculatietarief,"")</f>
        <v/>
      </c>
      <c r="G157" s="192" t="str">
        <f ca="1">IF(Ruimtestaat!G157&gt;0,Schoonmaaknormen!BW157*calculatietarief,"")</f>
        <v/>
      </c>
      <c r="H157" s="192" t="str">
        <f ca="1">IF(Ruimtestaat!H157&gt;0,Schoonmaaknormen!BX157*calculatietarief,"")</f>
        <v/>
      </c>
      <c r="I157" s="193" t="str">
        <f ca="1">IF(Ruimtestaat!I157&gt;0,Schoonmaaknormen!BY157*calculatietarief,"")</f>
        <v/>
      </c>
      <c r="J157" s="193" t="str">
        <f ca="1">IF(Ruimtestaat!J157&gt;0,Schoonmaaknormen!BZ157*calculatietarief,"")</f>
        <v/>
      </c>
      <c r="K157" s="581"/>
      <c r="L157" s="529"/>
      <c r="M157" s="172" t="b">
        <f>IF(_xlfn.XLOOKUP(Schoonmaaknormen!BB157,Tabel2[Locatiecode],Tabel2[Type locatie],"",0)="vaccin",TRUE,FALSE)</f>
        <v>0</v>
      </c>
    </row>
    <row r="158" spans="1:13" ht="0.2" customHeight="1" x14ac:dyDescent="0.2">
      <c r="A158" s="172">
        <f ca="1">Ruimtestaat!A158</f>
        <v>2</v>
      </c>
      <c r="B158" s="532"/>
      <c r="C158" s="10">
        <v>4</v>
      </c>
      <c r="D158" s="194" t="str">
        <f ca="1">IF(Ruimtestaat!D158&gt;0,Schoonmaaknormen!BT158*calculatietarief,"")</f>
        <v/>
      </c>
      <c r="E158" s="192" t="str">
        <f ca="1">IF(Ruimtestaat!E158&gt;0,Schoonmaaknormen!BU158*calculatietarief,"")</f>
        <v/>
      </c>
      <c r="F158" s="192" t="str">
        <f ca="1">IF(Ruimtestaat!F158&gt;0,Schoonmaaknormen!BV158*calculatietarief,"")</f>
        <v/>
      </c>
      <c r="G158" s="192" t="str">
        <f ca="1">IF(Ruimtestaat!G158&gt;0,Schoonmaaknormen!BW158*calculatietarief,"")</f>
        <v/>
      </c>
      <c r="H158" s="192" t="str">
        <f ca="1">IF(Ruimtestaat!H158&gt;0,Schoonmaaknormen!BX158*calculatietarief,"")</f>
        <v/>
      </c>
      <c r="I158" s="193" t="str">
        <f ca="1">IF(Ruimtestaat!I158&gt;0,Schoonmaaknormen!BY158*calculatietarief,"")</f>
        <v/>
      </c>
      <c r="J158" s="193" t="str">
        <f ca="1">IF(Ruimtestaat!J158&gt;0,Schoonmaaknormen!BZ158*calculatietarief,"")</f>
        <v/>
      </c>
      <c r="K158" s="581" t="str">
        <f>IF(Ruimtestaat!K158&gt;0,Schoonmaaknormen!CA158*calculatietarief,"")</f>
        <v/>
      </c>
      <c r="L158" s="529"/>
      <c r="M158" s="172" t="b">
        <f>IF(_xlfn.XLOOKUP(Schoonmaaknormen!BB158,Tabel2[Locatiecode],Tabel2[Type locatie],"",0)="vaccin",TRUE,FALSE)</f>
        <v>0</v>
      </c>
    </row>
    <row r="159" spans="1:13" ht="15" customHeight="1" x14ac:dyDescent="0.2">
      <c r="A159" s="172">
        <f ca="1">Ruimtestaat!A159</f>
        <v>1</v>
      </c>
      <c r="B159" s="532" t="str">
        <f>Schoonmaaknormen!BB159</f>
        <v>OBD-LMS</v>
      </c>
      <c r="C159" s="10">
        <v>255</v>
      </c>
      <c r="D159" s="190">
        <f ca="1">IF(Ruimtestaat!D159&gt;0,Schoonmaaknormen!BT159*calculatietarief,"")</f>
        <v>0</v>
      </c>
      <c r="E159" s="191" t="str">
        <f ca="1">IF(Ruimtestaat!E159&gt;0,Schoonmaaknormen!BU159*calculatietarief,"")</f>
        <v/>
      </c>
      <c r="F159" s="192">
        <f ca="1">IF(Ruimtestaat!F159&gt;0,Schoonmaaknormen!BV159*calculatietarief,"")</f>
        <v>0</v>
      </c>
      <c r="G159" s="191" t="str">
        <f ca="1">IF(Ruimtestaat!G159&gt;0,Schoonmaaknormen!BW159*calculatietarief,"")</f>
        <v/>
      </c>
      <c r="H159" s="191">
        <f ca="1">IF(Ruimtestaat!H159&gt;0,Schoonmaaknormen!BX159*calculatietarief,"")</f>
        <v>0</v>
      </c>
      <c r="I159" s="193">
        <f ca="1">IF(Ruimtestaat!I159&gt;0,Schoonmaaknormen!BY159*calculatietarief,"")</f>
        <v>0</v>
      </c>
      <c r="J159" s="193" t="str">
        <f ca="1">IF(Ruimtestaat!J159&gt;0,Schoonmaaknormen!BZ159*calculatietarief,"")</f>
        <v/>
      </c>
      <c r="K159" s="580" t="str">
        <f>IF(Schoonmaaknormen!K159&gt;0,Schoonmaaknormen!CA159*calculatietarief,"")</f>
        <v/>
      </c>
      <c r="L159" s="528">
        <f ca="1">SUM(D159:K164)</f>
        <v>0</v>
      </c>
      <c r="M159" s="172" t="b">
        <f>IF(_xlfn.XLOOKUP(Schoonmaaknormen!BB159,Tabel2[Locatiecode],Tabel2[Type locatie],"",0)="vaccin",TRUE,FALSE)</f>
        <v>0</v>
      </c>
    </row>
    <row r="160" spans="1:13" ht="0.2" customHeight="1" x14ac:dyDescent="0.2">
      <c r="A160" s="172">
        <f ca="1">Ruimtestaat!A160</f>
        <v>2</v>
      </c>
      <c r="B160" s="532"/>
      <c r="C160" s="10">
        <v>204</v>
      </c>
      <c r="D160" s="190" t="str">
        <f ca="1">IF(Ruimtestaat!D160&gt;0,Schoonmaaknormen!BT160*calculatietarief,"")</f>
        <v/>
      </c>
      <c r="E160" s="191" t="str">
        <f ca="1">IF(Ruimtestaat!E160&gt;0,Schoonmaaknormen!BU160*calculatietarief,"")</f>
        <v/>
      </c>
      <c r="F160" s="192" t="str">
        <f ca="1">IF(Ruimtestaat!F160&gt;0,Schoonmaaknormen!BV160*calculatietarief,"")</f>
        <v/>
      </c>
      <c r="G160" s="191" t="str">
        <f ca="1">IF(Ruimtestaat!G160&gt;0,Schoonmaaknormen!BW160*calculatietarief,"")</f>
        <v/>
      </c>
      <c r="H160" s="191" t="str">
        <f ca="1">IF(Ruimtestaat!H160&gt;0,Schoonmaaknormen!BX160*calculatietarief,"")</f>
        <v/>
      </c>
      <c r="I160" s="193" t="str">
        <f ca="1">IF(Ruimtestaat!I160&gt;0,Schoonmaaknormen!BY160*calculatietarief,"")</f>
        <v/>
      </c>
      <c r="J160" s="193" t="str">
        <f ca="1">IF(Ruimtestaat!J160&gt;0,Schoonmaaknormen!BZ160*calculatietarief,"")</f>
        <v/>
      </c>
      <c r="K160" s="580"/>
      <c r="L160" s="528"/>
      <c r="M160" s="172" t="b">
        <f>IF(_xlfn.XLOOKUP(Schoonmaaknormen!BB160,Tabel2[Locatiecode],Tabel2[Type locatie],"",0)="vaccin",TRUE,FALSE)</f>
        <v>0</v>
      </c>
    </row>
    <row r="161" spans="1:13" ht="0.2" customHeight="1" x14ac:dyDescent="0.2">
      <c r="A161" s="172">
        <f ca="1">Ruimtestaat!A161</f>
        <v>2</v>
      </c>
      <c r="B161" s="532"/>
      <c r="C161" s="10">
        <v>156</v>
      </c>
      <c r="D161" s="190" t="str">
        <f ca="1">IF(Ruimtestaat!D161&gt;0,Schoonmaaknormen!BT161*calculatietarief,"")</f>
        <v/>
      </c>
      <c r="E161" s="191" t="str">
        <f ca="1">IF(Ruimtestaat!E161&gt;0,Schoonmaaknormen!BU161*calculatietarief,"")</f>
        <v/>
      </c>
      <c r="F161" s="192" t="str">
        <f ca="1">IF(Ruimtestaat!F161&gt;0,Schoonmaaknormen!BV161*calculatietarief,"")</f>
        <v/>
      </c>
      <c r="G161" s="191" t="str">
        <f ca="1">IF(Ruimtestaat!G161&gt;0,Schoonmaaknormen!BW161*calculatietarief,"")</f>
        <v/>
      </c>
      <c r="H161" s="191" t="str">
        <f ca="1">IF(Ruimtestaat!H161&gt;0,Schoonmaaknormen!BX161*calculatietarief,"")</f>
        <v/>
      </c>
      <c r="I161" s="193" t="str">
        <f ca="1">IF(Ruimtestaat!I161&gt;0,Schoonmaaknormen!BY161*calculatietarief,"")</f>
        <v/>
      </c>
      <c r="J161" s="193" t="str">
        <f ca="1">IF(Ruimtestaat!J161&gt;0,Schoonmaaknormen!BZ161*calculatietarief,"")</f>
        <v/>
      </c>
      <c r="K161" s="580"/>
      <c r="L161" s="528"/>
      <c r="M161" s="172" t="b">
        <f>IF(_xlfn.XLOOKUP(Schoonmaaknormen!BB161,Tabel2[Locatiecode],Tabel2[Type locatie],"",0)="vaccin",TRUE,FALSE)</f>
        <v>0</v>
      </c>
    </row>
    <row r="162" spans="1:13" ht="0.2" customHeight="1" x14ac:dyDescent="0.2">
      <c r="A162" s="172">
        <f ca="1">Ruimtestaat!A162</f>
        <v>2</v>
      </c>
      <c r="B162" s="532"/>
      <c r="C162" s="10">
        <v>104</v>
      </c>
      <c r="D162" s="194" t="str">
        <f ca="1">IF(Ruimtestaat!D162&gt;0,Schoonmaaknormen!BT162*calculatietarief,"")</f>
        <v/>
      </c>
      <c r="E162" s="192" t="str">
        <f ca="1">IF(Ruimtestaat!E162&gt;0,Schoonmaaknormen!BU162*calculatietarief,"")</f>
        <v/>
      </c>
      <c r="F162" s="192" t="str">
        <f ca="1">IF(Ruimtestaat!F162&gt;0,Schoonmaaknormen!BV162*calculatietarief,"")</f>
        <v/>
      </c>
      <c r="G162" s="192" t="str">
        <f ca="1">IF(Ruimtestaat!G162&gt;0,Schoonmaaknormen!BW162*calculatietarief,"")</f>
        <v/>
      </c>
      <c r="H162" s="192" t="str">
        <f ca="1">IF(Ruimtestaat!H162&gt;0,Schoonmaaknormen!BX162*calculatietarief,"")</f>
        <v/>
      </c>
      <c r="I162" s="193" t="str">
        <f ca="1">IF(Ruimtestaat!I162&gt;0,Schoonmaaknormen!BY162*calculatietarief,"")</f>
        <v/>
      </c>
      <c r="J162" s="193" t="str">
        <f ca="1">IF(Ruimtestaat!J162&gt;0,Schoonmaaknormen!BZ162*calculatietarief,"")</f>
        <v/>
      </c>
      <c r="K162" s="581" t="str">
        <f>IF(Ruimtestaat!K161&gt;0,Schoonmaaknormen!CA162*calculatietarief,"")</f>
        <v/>
      </c>
      <c r="L162" s="529"/>
      <c r="M162" s="172" t="b">
        <f>IF(_xlfn.XLOOKUP(Schoonmaaknormen!BB162,Tabel2[Locatiecode],Tabel2[Type locatie],"",0)="vaccin",TRUE,FALSE)</f>
        <v>0</v>
      </c>
    </row>
    <row r="163" spans="1:13" ht="0.2" customHeight="1" x14ac:dyDescent="0.2">
      <c r="A163" s="172">
        <f ca="1">Ruimtestaat!A163</f>
        <v>2</v>
      </c>
      <c r="B163" s="532"/>
      <c r="C163" s="10">
        <v>52</v>
      </c>
      <c r="D163" s="194" t="str">
        <f ca="1">IF(Ruimtestaat!D163&gt;0,Schoonmaaknormen!BT163*calculatietarief,"")</f>
        <v/>
      </c>
      <c r="E163" s="192" t="str">
        <f ca="1">IF(Ruimtestaat!E163&gt;0,Schoonmaaknormen!BU163*calculatietarief,"")</f>
        <v/>
      </c>
      <c r="F163" s="192" t="str">
        <f ca="1">IF(Ruimtestaat!F163&gt;0,Schoonmaaknormen!BV163*calculatietarief,"")</f>
        <v/>
      </c>
      <c r="G163" s="192" t="str">
        <f ca="1">IF(Ruimtestaat!G163&gt;0,Schoonmaaknormen!BW163*calculatietarief,"")</f>
        <v/>
      </c>
      <c r="H163" s="192" t="str">
        <f ca="1">IF(Ruimtestaat!H163&gt;0,Schoonmaaknormen!BX163*calculatietarief,"")</f>
        <v/>
      </c>
      <c r="I163" s="193" t="str">
        <f ca="1">IF(Ruimtestaat!I163&gt;0,Schoonmaaknormen!BY163*calculatietarief,"")</f>
        <v/>
      </c>
      <c r="J163" s="193" t="str">
        <f ca="1">IF(Ruimtestaat!J163&gt;0,Schoonmaaknormen!BZ163*calculatietarief,"")</f>
        <v/>
      </c>
      <c r="K163" s="581"/>
      <c r="L163" s="529"/>
      <c r="M163" s="172" t="b">
        <f>IF(_xlfn.XLOOKUP(Schoonmaaknormen!BB163,Tabel2[Locatiecode],Tabel2[Type locatie],"",0)="vaccin",TRUE,FALSE)</f>
        <v>0</v>
      </c>
    </row>
    <row r="164" spans="1:13" ht="0.2" customHeight="1" x14ac:dyDescent="0.2">
      <c r="A164" s="172">
        <f ca="1">Ruimtestaat!A164</f>
        <v>2</v>
      </c>
      <c r="B164" s="532"/>
      <c r="C164" s="10">
        <v>4</v>
      </c>
      <c r="D164" s="194" t="str">
        <f ca="1">IF(Ruimtestaat!D164&gt;0,Schoonmaaknormen!BT164*calculatietarief,"")</f>
        <v/>
      </c>
      <c r="E164" s="192" t="str">
        <f ca="1">IF(Ruimtestaat!E164&gt;0,Schoonmaaknormen!BU164*calculatietarief,"")</f>
        <v/>
      </c>
      <c r="F164" s="192" t="str">
        <f ca="1">IF(Ruimtestaat!F164&gt;0,Schoonmaaknormen!BV164*calculatietarief,"")</f>
        <v/>
      </c>
      <c r="G164" s="192" t="str">
        <f ca="1">IF(Ruimtestaat!G164&gt;0,Schoonmaaknormen!BW164*calculatietarief,"")</f>
        <v/>
      </c>
      <c r="H164" s="192" t="str">
        <f ca="1">IF(Ruimtestaat!H164&gt;0,Schoonmaaknormen!BX164*calculatietarief,"")</f>
        <v/>
      </c>
      <c r="I164" s="193" t="str">
        <f ca="1">IF(Ruimtestaat!I164&gt;0,Schoonmaaknormen!BY164*calculatietarief,"")</f>
        <v/>
      </c>
      <c r="J164" s="193" t="str">
        <f ca="1">IF(Ruimtestaat!J164&gt;0,Schoonmaaknormen!BZ164*calculatietarief,"")</f>
        <v/>
      </c>
      <c r="K164" s="581" t="str">
        <f>IF(Ruimtestaat!K164&gt;0,Schoonmaaknormen!CA164*calculatietarief,"")</f>
        <v/>
      </c>
      <c r="L164" s="529"/>
      <c r="M164" s="172" t="b">
        <f>IF(_xlfn.XLOOKUP(Schoonmaaknormen!BB164,Tabel2[Locatiecode],Tabel2[Type locatie],"",0)="vaccin",TRUE,FALSE)</f>
        <v>0</v>
      </c>
    </row>
    <row r="165" spans="1:13" ht="15" customHeight="1" x14ac:dyDescent="0.2">
      <c r="A165" s="172">
        <f ca="1">Ruimtestaat!A165</f>
        <v>1</v>
      </c>
      <c r="B165" s="532" t="str">
        <f>Schoonmaaknormen!BB165</f>
        <v>SCH-ZDW</v>
      </c>
      <c r="C165" s="10">
        <v>255</v>
      </c>
      <c r="D165" s="190">
        <f ca="1">IF(Ruimtestaat!D165&gt;0,Schoonmaaknormen!BT165*calculatietarief,"")</f>
        <v>0</v>
      </c>
      <c r="E165" s="191">
        <f ca="1">IF(Ruimtestaat!E165&gt;0,Schoonmaaknormen!BU165*calculatietarief,"")</f>
        <v>0</v>
      </c>
      <c r="F165" s="192">
        <f ca="1">IF(Ruimtestaat!F165&gt;0,Schoonmaaknormen!BV165*calculatietarief,"")</f>
        <v>0</v>
      </c>
      <c r="G165" s="191">
        <f ca="1">IF(Ruimtestaat!G165&gt;0,Schoonmaaknormen!BW165*calculatietarief,"")</f>
        <v>0</v>
      </c>
      <c r="H165" s="191">
        <f ca="1">IF(Ruimtestaat!H165&gt;0,Schoonmaaknormen!BX165*calculatietarief,"")</f>
        <v>0</v>
      </c>
      <c r="I165" s="193">
        <f ca="1">IF(Ruimtestaat!I165&gt;0,Schoonmaaknormen!BY165*calculatietarief,"")</f>
        <v>0</v>
      </c>
      <c r="J165" s="193" t="str">
        <f ca="1">IF(Ruimtestaat!J165&gt;0,Schoonmaaknormen!BZ165*calculatietarief,"")</f>
        <v/>
      </c>
      <c r="K165" s="580" t="str">
        <f>IF(Schoonmaaknormen!K165&gt;0,Schoonmaaknormen!CA165*calculatietarief,"")</f>
        <v/>
      </c>
      <c r="L165" s="528">
        <f ca="1">SUM(D165:K170)</f>
        <v>0</v>
      </c>
      <c r="M165" s="172" t="b">
        <f>IF(_xlfn.XLOOKUP(Schoonmaaknormen!BB165,Tabel2[Locatiecode],Tabel2[Type locatie],"",0)="vaccin",TRUE,FALSE)</f>
        <v>0</v>
      </c>
    </row>
    <row r="166" spans="1:13" ht="0.2" customHeight="1" x14ac:dyDescent="0.2">
      <c r="A166" s="172">
        <f ca="1">Ruimtestaat!A166</f>
        <v>2</v>
      </c>
      <c r="B166" s="532"/>
      <c r="C166" s="10">
        <v>204</v>
      </c>
      <c r="D166" s="190" t="str">
        <f ca="1">IF(Ruimtestaat!D166&gt;0,Schoonmaaknormen!BT166*calculatietarief,"")</f>
        <v/>
      </c>
      <c r="E166" s="191" t="str">
        <f ca="1">IF(Ruimtestaat!E166&gt;0,Schoonmaaknormen!BU166*calculatietarief,"")</f>
        <v/>
      </c>
      <c r="F166" s="192" t="str">
        <f ca="1">IF(Ruimtestaat!F166&gt;0,Schoonmaaknormen!BV166*calculatietarief,"")</f>
        <v/>
      </c>
      <c r="G166" s="191" t="str">
        <f ca="1">IF(Ruimtestaat!G166&gt;0,Schoonmaaknormen!BW166*calculatietarief,"")</f>
        <v/>
      </c>
      <c r="H166" s="191" t="str">
        <f ca="1">IF(Ruimtestaat!H166&gt;0,Schoonmaaknormen!BX166*calculatietarief,"")</f>
        <v/>
      </c>
      <c r="I166" s="193" t="str">
        <f ca="1">IF(Ruimtestaat!I166&gt;0,Schoonmaaknormen!BY166*calculatietarief,"")</f>
        <v/>
      </c>
      <c r="J166" s="193" t="str">
        <f ca="1">IF(Ruimtestaat!J166&gt;0,Schoonmaaknormen!BZ166*calculatietarief,"")</f>
        <v/>
      </c>
      <c r="K166" s="580"/>
      <c r="L166" s="528"/>
      <c r="M166" s="172" t="b">
        <f>IF(_xlfn.XLOOKUP(Schoonmaaknormen!BB166,Tabel2[Locatiecode],Tabel2[Type locatie],"",0)="vaccin",TRUE,FALSE)</f>
        <v>0</v>
      </c>
    </row>
    <row r="167" spans="1:13" ht="0.2" customHeight="1" x14ac:dyDescent="0.2">
      <c r="A167" s="172">
        <f ca="1">Ruimtestaat!A167</f>
        <v>2</v>
      </c>
      <c r="B167" s="532"/>
      <c r="C167" s="10">
        <v>156</v>
      </c>
      <c r="D167" s="190" t="str">
        <f ca="1">IF(Ruimtestaat!D167&gt;0,Schoonmaaknormen!BT167*calculatietarief,"")</f>
        <v/>
      </c>
      <c r="E167" s="191" t="str">
        <f ca="1">IF(Ruimtestaat!E167&gt;0,Schoonmaaknormen!BU167*calculatietarief,"")</f>
        <v/>
      </c>
      <c r="F167" s="192" t="str">
        <f ca="1">IF(Ruimtestaat!F167&gt;0,Schoonmaaknormen!BV167*calculatietarief,"")</f>
        <v/>
      </c>
      <c r="G167" s="191" t="str">
        <f ca="1">IF(Ruimtestaat!G167&gt;0,Schoonmaaknormen!BW167*calculatietarief,"")</f>
        <v/>
      </c>
      <c r="H167" s="191" t="str">
        <f ca="1">IF(Ruimtestaat!H167&gt;0,Schoonmaaknormen!BX167*calculatietarief,"")</f>
        <v/>
      </c>
      <c r="I167" s="193" t="str">
        <f ca="1">IF(Ruimtestaat!I167&gt;0,Schoonmaaknormen!BY167*calculatietarief,"")</f>
        <v/>
      </c>
      <c r="J167" s="193" t="str">
        <f ca="1">IF(Ruimtestaat!J167&gt;0,Schoonmaaknormen!BZ167*calculatietarief,"")</f>
        <v/>
      </c>
      <c r="K167" s="580"/>
      <c r="L167" s="528"/>
      <c r="M167" s="172" t="b">
        <f>IF(_xlfn.XLOOKUP(Schoonmaaknormen!BB167,Tabel2[Locatiecode],Tabel2[Type locatie],"",0)="vaccin",TRUE,FALSE)</f>
        <v>0</v>
      </c>
    </row>
    <row r="168" spans="1:13" ht="0.2" customHeight="1" x14ac:dyDescent="0.2">
      <c r="A168" s="172">
        <f ca="1">Ruimtestaat!A168</f>
        <v>2</v>
      </c>
      <c r="B168" s="532"/>
      <c r="C168" s="10">
        <v>104</v>
      </c>
      <c r="D168" s="194" t="str">
        <f ca="1">IF(Ruimtestaat!D168&gt;0,Schoonmaaknormen!BT168*calculatietarief,"")</f>
        <v/>
      </c>
      <c r="E168" s="192" t="str">
        <f ca="1">IF(Ruimtestaat!E168&gt;0,Schoonmaaknormen!BU168*calculatietarief,"")</f>
        <v/>
      </c>
      <c r="F168" s="192" t="str">
        <f ca="1">IF(Ruimtestaat!F168&gt;0,Schoonmaaknormen!BV168*calculatietarief,"")</f>
        <v/>
      </c>
      <c r="G168" s="192" t="str">
        <f ca="1">IF(Ruimtestaat!G168&gt;0,Schoonmaaknormen!BW168*calculatietarief,"")</f>
        <v/>
      </c>
      <c r="H168" s="192" t="str">
        <f ca="1">IF(Ruimtestaat!H168&gt;0,Schoonmaaknormen!BX168*calculatietarief,"")</f>
        <v/>
      </c>
      <c r="I168" s="193" t="str">
        <f ca="1">IF(Ruimtestaat!I168&gt;0,Schoonmaaknormen!BY168*calculatietarief,"")</f>
        <v/>
      </c>
      <c r="J168" s="193" t="str">
        <f ca="1">IF(Ruimtestaat!J168&gt;0,Schoonmaaknormen!BZ168*calculatietarief,"")</f>
        <v/>
      </c>
      <c r="K168" s="581" t="str">
        <f>IF(Ruimtestaat!K167&gt;0,Schoonmaaknormen!CA168*calculatietarief,"")</f>
        <v/>
      </c>
      <c r="L168" s="529"/>
      <c r="M168" s="172" t="b">
        <f>IF(_xlfn.XLOOKUP(Schoonmaaknormen!BB168,Tabel2[Locatiecode],Tabel2[Type locatie],"",0)="vaccin",TRUE,FALSE)</f>
        <v>0</v>
      </c>
    </row>
    <row r="169" spans="1:13" ht="0.2" customHeight="1" x14ac:dyDescent="0.2">
      <c r="A169" s="172">
        <f ca="1">Ruimtestaat!A169</f>
        <v>2</v>
      </c>
      <c r="B169" s="532"/>
      <c r="C169" s="10">
        <v>52</v>
      </c>
      <c r="D169" s="194" t="str">
        <f ca="1">IF(Ruimtestaat!D169&gt;0,Schoonmaaknormen!BT169*calculatietarief,"")</f>
        <v/>
      </c>
      <c r="E169" s="192" t="str">
        <f ca="1">IF(Ruimtestaat!E169&gt;0,Schoonmaaknormen!BU169*calculatietarief,"")</f>
        <v/>
      </c>
      <c r="F169" s="192" t="str">
        <f ca="1">IF(Ruimtestaat!F169&gt;0,Schoonmaaknormen!BV169*calculatietarief,"")</f>
        <v/>
      </c>
      <c r="G169" s="192" t="str">
        <f ca="1">IF(Ruimtestaat!G169&gt;0,Schoonmaaknormen!BW169*calculatietarief,"")</f>
        <v/>
      </c>
      <c r="H169" s="192" t="str">
        <f ca="1">IF(Ruimtestaat!H169&gt;0,Schoonmaaknormen!BX169*calculatietarief,"")</f>
        <v/>
      </c>
      <c r="I169" s="193" t="str">
        <f ca="1">IF(Ruimtestaat!I169&gt;0,Schoonmaaknormen!BY169*calculatietarief,"")</f>
        <v/>
      </c>
      <c r="J169" s="193" t="str">
        <f ca="1">IF(Ruimtestaat!J169&gt;0,Schoonmaaknormen!BZ169*calculatietarief,"")</f>
        <v/>
      </c>
      <c r="K169" s="581"/>
      <c r="L169" s="529"/>
      <c r="M169" s="172" t="b">
        <f>IF(_xlfn.XLOOKUP(Schoonmaaknormen!BB169,Tabel2[Locatiecode],Tabel2[Type locatie],"",0)="vaccin",TRUE,FALSE)</f>
        <v>0</v>
      </c>
    </row>
    <row r="170" spans="1:13" ht="0.2" customHeight="1" x14ac:dyDescent="0.2">
      <c r="A170" s="172">
        <f ca="1">Ruimtestaat!A170</f>
        <v>2</v>
      </c>
      <c r="B170" s="532"/>
      <c r="C170" s="10">
        <v>4</v>
      </c>
      <c r="D170" s="194" t="str">
        <f ca="1">IF(Ruimtestaat!D170&gt;0,Schoonmaaknormen!BT170*calculatietarief,"")</f>
        <v/>
      </c>
      <c r="E170" s="192" t="str">
        <f ca="1">IF(Ruimtestaat!E170&gt;0,Schoonmaaknormen!BU170*calculatietarief,"")</f>
        <v/>
      </c>
      <c r="F170" s="192" t="str">
        <f ca="1">IF(Ruimtestaat!F170&gt;0,Schoonmaaknormen!BV170*calculatietarief,"")</f>
        <v/>
      </c>
      <c r="G170" s="192" t="str">
        <f ca="1">IF(Ruimtestaat!G170&gt;0,Schoonmaaknormen!BW170*calculatietarief,"")</f>
        <v/>
      </c>
      <c r="H170" s="192" t="str">
        <f ca="1">IF(Ruimtestaat!H170&gt;0,Schoonmaaknormen!BX170*calculatietarief,"")</f>
        <v/>
      </c>
      <c r="I170" s="193" t="str">
        <f ca="1">IF(Ruimtestaat!I170&gt;0,Schoonmaaknormen!BY170*calculatietarief,"")</f>
        <v/>
      </c>
      <c r="J170" s="193" t="str">
        <f ca="1">IF(Ruimtestaat!J170&gt;0,Schoonmaaknormen!BZ170*calculatietarief,"")</f>
        <v/>
      </c>
      <c r="K170" s="581" t="str">
        <f>IF(Ruimtestaat!K170&gt;0,Schoonmaaknormen!CA170*calculatietarief,"")</f>
        <v/>
      </c>
      <c r="L170" s="529"/>
      <c r="M170" s="172" t="b">
        <f>IF(_xlfn.XLOOKUP(Schoonmaaknormen!BB170,Tabel2[Locatiecode],Tabel2[Type locatie],"",0)="vaccin",TRUE,FALSE)</f>
        <v>0</v>
      </c>
    </row>
    <row r="171" spans="1:13" ht="15" customHeight="1" x14ac:dyDescent="0.2">
      <c r="A171" s="172">
        <f ca="1">Ruimtestaat!A171</f>
        <v>1</v>
      </c>
      <c r="B171" s="527" t="str">
        <f>Schoonmaaknormen!BB171</f>
        <v>SPB-PMS</v>
      </c>
      <c r="C171" s="10">
        <v>255</v>
      </c>
      <c r="D171" s="190">
        <f ca="1">IF(Ruimtestaat!D171&gt;0,Schoonmaaknormen!BT171*calculatietarief,"")</f>
        <v>0</v>
      </c>
      <c r="E171" s="191" t="str">
        <f ca="1">IF(Ruimtestaat!E171&gt;0,Schoonmaaknormen!BU171*calculatietarief,"")</f>
        <v/>
      </c>
      <c r="F171" s="192">
        <f ca="1">IF(Ruimtestaat!F171&gt;0,Schoonmaaknormen!BV171*calculatietarief,"")</f>
        <v>0</v>
      </c>
      <c r="G171" s="191" t="str">
        <f ca="1">IF(Ruimtestaat!G171&gt;0,Schoonmaaknormen!BW171*calculatietarief,"")</f>
        <v/>
      </c>
      <c r="H171" s="191">
        <f ca="1">IF(Ruimtestaat!H171&gt;0,Schoonmaaknormen!BX171*calculatietarief,"")</f>
        <v>0</v>
      </c>
      <c r="I171" s="193">
        <f ca="1">IF(Ruimtestaat!I171&gt;0,Schoonmaaknormen!BY171*calculatietarief,"")</f>
        <v>0</v>
      </c>
      <c r="J171" s="193" t="str">
        <f ca="1">IF(Ruimtestaat!J171&gt;0,Schoonmaaknormen!BZ171*calculatietarief,"")</f>
        <v/>
      </c>
      <c r="K171" s="580" t="str">
        <f>IF(Schoonmaaknormen!K171&gt;0,Schoonmaaknormen!CA171*calculatietarief,"")</f>
        <v/>
      </c>
      <c r="L171" s="528">
        <f ca="1">SUM(D171:K176)</f>
        <v>0</v>
      </c>
      <c r="M171" s="172" t="b">
        <f>IF(_xlfn.XLOOKUP(Schoonmaaknormen!BB171,Tabel2[Locatiecode],Tabel2[Type locatie],"",0)="vaccin",TRUE,FALSE)</f>
        <v>0</v>
      </c>
    </row>
    <row r="172" spans="1:13" ht="0.2" customHeight="1" x14ac:dyDescent="0.2">
      <c r="A172" s="172">
        <f ca="1">Ruimtestaat!A172</f>
        <v>2</v>
      </c>
      <c r="B172" s="527"/>
      <c r="C172" s="10">
        <v>204</v>
      </c>
      <c r="D172" s="190" t="str">
        <f ca="1">IF(Ruimtestaat!D172&gt;0,Schoonmaaknormen!BT172*calculatietarief,"")</f>
        <v/>
      </c>
      <c r="E172" s="191" t="str">
        <f ca="1">IF(Ruimtestaat!E172&gt;0,Schoonmaaknormen!BU172*calculatietarief,"")</f>
        <v/>
      </c>
      <c r="F172" s="192" t="str">
        <f ca="1">IF(Ruimtestaat!F172&gt;0,Schoonmaaknormen!BV172*calculatietarief,"")</f>
        <v/>
      </c>
      <c r="G172" s="191" t="str">
        <f ca="1">IF(Ruimtestaat!G172&gt;0,Schoonmaaknormen!BW172*calculatietarief,"")</f>
        <v/>
      </c>
      <c r="H172" s="191" t="str">
        <f ca="1">IF(Ruimtestaat!H172&gt;0,Schoonmaaknormen!BX172*calculatietarief,"")</f>
        <v/>
      </c>
      <c r="I172" s="193" t="str">
        <f ca="1">IF(Ruimtestaat!I172&gt;0,Schoonmaaknormen!BY172*calculatietarief,"")</f>
        <v/>
      </c>
      <c r="J172" s="193" t="str">
        <f ca="1">IF(Ruimtestaat!J172&gt;0,Schoonmaaknormen!BZ172*calculatietarief,"")</f>
        <v/>
      </c>
      <c r="K172" s="580"/>
      <c r="L172" s="528"/>
      <c r="M172" s="172" t="b">
        <f>IF(_xlfn.XLOOKUP(Schoonmaaknormen!BB172,Tabel2[Locatiecode],Tabel2[Type locatie],"",0)="vaccin",TRUE,FALSE)</f>
        <v>0</v>
      </c>
    </row>
    <row r="173" spans="1:13" ht="0.2" customHeight="1" x14ac:dyDescent="0.2">
      <c r="A173" s="172">
        <f ca="1">Ruimtestaat!A173</f>
        <v>2</v>
      </c>
      <c r="B173" s="527"/>
      <c r="C173" s="10">
        <v>156</v>
      </c>
      <c r="D173" s="190" t="str">
        <f ca="1">IF(Ruimtestaat!D173&gt;0,Schoonmaaknormen!BT173*calculatietarief,"")</f>
        <v/>
      </c>
      <c r="E173" s="191" t="str">
        <f ca="1">IF(Ruimtestaat!E173&gt;0,Schoonmaaknormen!BU173*calculatietarief,"")</f>
        <v/>
      </c>
      <c r="F173" s="192" t="str">
        <f ca="1">IF(Ruimtestaat!F173&gt;0,Schoonmaaknormen!BV173*calculatietarief,"")</f>
        <v/>
      </c>
      <c r="G173" s="191" t="str">
        <f ca="1">IF(Ruimtestaat!G173&gt;0,Schoonmaaknormen!BW173*calculatietarief,"")</f>
        <v/>
      </c>
      <c r="H173" s="191" t="str">
        <f ca="1">IF(Ruimtestaat!H173&gt;0,Schoonmaaknormen!BX173*calculatietarief,"")</f>
        <v/>
      </c>
      <c r="I173" s="193" t="str">
        <f ca="1">IF(Ruimtestaat!I173&gt;0,Schoonmaaknormen!BY173*calculatietarief,"")</f>
        <v/>
      </c>
      <c r="J173" s="193" t="str">
        <f ca="1">IF(Ruimtestaat!J173&gt;0,Schoonmaaknormen!BZ173*calculatietarief,"")</f>
        <v/>
      </c>
      <c r="K173" s="580"/>
      <c r="L173" s="528"/>
      <c r="M173" s="172" t="b">
        <f>IF(_xlfn.XLOOKUP(Schoonmaaknormen!BB173,Tabel2[Locatiecode],Tabel2[Type locatie],"",0)="vaccin",TRUE,FALSE)</f>
        <v>0</v>
      </c>
    </row>
    <row r="174" spans="1:13" ht="0.2" customHeight="1" x14ac:dyDescent="0.2">
      <c r="A174" s="172">
        <f ca="1">Ruimtestaat!A174</f>
        <v>2</v>
      </c>
      <c r="B174" s="527"/>
      <c r="C174" s="10">
        <v>104</v>
      </c>
      <c r="D174" s="194" t="str">
        <f ca="1">IF(Ruimtestaat!D174&gt;0,Schoonmaaknormen!BT174*calculatietarief,"")</f>
        <v/>
      </c>
      <c r="E174" s="192" t="str">
        <f ca="1">IF(Ruimtestaat!E174&gt;0,Schoonmaaknormen!BU174*calculatietarief,"")</f>
        <v/>
      </c>
      <c r="F174" s="192" t="str">
        <f ca="1">IF(Ruimtestaat!F174&gt;0,Schoonmaaknormen!BV174*calculatietarief,"")</f>
        <v/>
      </c>
      <c r="G174" s="192" t="str">
        <f ca="1">IF(Ruimtestaat!G174&gt;0,Schoonmaaknormen!BW174*calculatietarief,"")</f>
        <v/>
      </c>
      <c r="H174" s="192" t="str">
        <f ca="1">IF(Ruimtestaat!H174&gt;0,Schoonmaaknormen!BX174*calculatietarief,"")</f>
        <v/>
      </c>
      <c r="I174" s="193" t="str">
        <f ca="1">IF(Ruimtestaat!I174&gt;0,Schoonmaaknormen!BY174*calculatietarief,"")</f>
        <v/>
      </c>
      <c r="J174" s="193" t="str">
        <f ca="1">IF(Ruimtestaat!J174&gt;0,Schoonmaaknormen!BZ174*calculatietarief,"")</f>
        <v/>
      </c>
      <c r="K174" s="581" t="str">
        <f>IF(Ruimtestaat!K173&gt;0,Schoonmaaknormen!CA174*calculatietarief,"")</f>
        <v/>
      </c>
      <c r="L174" s="529"/>
      <c r="M174" s="172" t="b">
        <f>IF(_xlfn.XLOOKUP(Schoonmaaknormen!BB174,Tabel2[Locatiecode],Tabel2[Type locatie],"",0)="vaccin",TRUE,FALSE)</f>
        <v>0</v>
      </c>
    </row>
    <row r="175" spans="1:13" ht="0.2" customHeight="1" x14ac:dyDescent="0.2">
      <c r="A175" s="172">
        <f ca="1">Ruimtestaat!A175</f>
        <v>0</v>
      </c>
      <c r="B175" s="527"/>
      <c r="C175" s="10">
        <v>52</v>
      </c>
      <c r="D175" s="194" t="str">
        <f ca="1">IF(Ruimtestaat!D175&gt;0,Schoonmaaknormen!BT175*calculatietarief,"")</f>
        <v/>
      </c>
      <c r="E175" s="192" t="str">
        <f ca="1">IF(Ruimtestaat!E175&gt;0,Schoonmaaknormen!BU175*calculatietarief,"")</f>
        <v/>
      </c>
      <c r="F175" s="192" t="str">
        <f ca="1">IF(Ruimtestaat!F175&gt;0,Schoonmaaknormen!BV175*calculatietarief,"")</f>
        <v/>
      </c>
      <c r="G175" s="192" t="str">
        <f ca="1">IF(Ruimtestaat!G175&gt;0,Schoonmaaknormen!BW175*calculatietarief,"")</f>
        <v/>
      </c>
      <c r="H175" s="192" t="str">
        <f ca="1">IF(Ruimtestaat!H175&gt;0,Schoonmaaknormen!BX175*calculatietarief,"")</f>
        <v/>
      </c>
      <c r="I175" s="193" t="str">
        <f ca="1">IF(Ruimtestaat!I175&gt;0,Schoonmaaknormen!BY175*calculatietarief,"")</f>
        <v/>
      </c>
      <c r="J175" s="193" t="str">
        <f ca="1">IF(Ruimtestaat!J175&gt;0,Schoonmaaknormen!BZ175*calculatietarief,"")</f>
        <v/>
      </c>
      <c r="K175" s="581"/>
      <c r="L175" s="529"/>
      <c r="M175" s="172" t="b">
        <f>IF(_xlfn.XLOOKUP(Schoonmaaknormen!BB175,Tabel2[Locatiecode],Tabel2[Type locatie],"",0)="vaccin",TRUE,FALSE)</f>
        <v>0</v>
      </c>
    </row>
    <row r="176" spans="1:13" ht="0.2" customHeight="1" x14ac:dyDescent="0.2">
      <c r="A176" s="172">
        <f ca="1">Ruimtestaat!A176</f>
        <v>2</v>
      </c>
      <c r="B176" s="527"/>
      <c r="C176" s="10">
        <v>4</v>
      </c>
      <c r="D176" s="194" t="str">
        <f ca="1">IF(Ruimtestaat!D176&gt;0,Schoonmaaknormen!BT176*calculatietarief,"")</f>
        <v/>
      </c>
      <c r="E176" s="192" t="str">
        <f ca="1">IF(Ruimtestaat!E176&gt;0,Schoonmaaknormen!BU176*calculatietarief,"")</f>
        <v/>
      </c>
      <c r="F176" s="192" t="str">
        <f ca="1">IF(Ruimtestaat!F176&gt;0,Schoonmaaknormen!BV176*calculatietarief,"")</f>
        <v/>
      </c>
      <c r="G176" s="192" t="str">
        <f ca="1">IF(Ruimtestaat!G176&gt;0,Schoonmaaknormen!BW176*calculatietarief,"")</f>
        <v/>
      </c>
      <c r="H176" s="192" t="str">
        <f ca="1">IF(Ruimtestaat!H176&gt;0,Schoonmaaknormen!BX176*calculatietarief,"")</f>
        <v/>
      </c>
      <c r="I176" s="193" t="str">
        <f ca="1">IF(Ruimtestaat!I176&gt;0,Schoonmaaknormen!BY176*calculatietarief,"")</f>
        <v/>
      </c>
      <c r="J176" s="193" t="str">
        <f ca="1">IF(Ruimtestaat!J176&gt;0,Schoonmaaknormen!BZ176*calculatietarief,"")</f>
        <v/>
      </c>
      <c r="K176" s="581" t="str">
        <f>IF(Ruimtestaat!K176&gt;0,Schoonmaaknormen!CA176*calculatietarief,"")</f>
        <v/>
      </c>
      <c r="L176" s="529"/>
      <c r="M176" s="172" t="b">
        <f>IF(_xlfn.XLOOKUP(Schoonmaaknormen!BB176,Tabel2[Locatiecode],Tabel2[Type locatie],"",0)="vaccin",TRUE,FALSE)</f>
        <v>0</v>
      </c>
    </row>
    <row r="177" spans="1:13" ht="15" customHeight="1" x14ac:dyDescent="0.2">
      <c r="A177" s="172">
        <f ca="1">Ruimtestaat!A177</f>
        <v>1</v>
      </c>
      <c r="B177" s="527" t="str">
        <f>Schoonmaaknormen!BB177</f>
        <v>VHU-TWV</v>
      </c>
      <c r="C177" s="10">
        <v>255</v>
      </c>
      <c r="D177" s="190">
        <f ca="1">IF(Ruimtestaat!D177&gt;0,Schoonmaaknormen!BT177*calculatietarief,"")</f>
        <v>0</v>
      </c>
      <c r="E177" s="191" t="str">
        <f ca="1">IF(Ruimtestaat!E177&gt;0,Schoonmaaknormen!BU177*calculatietarief,"")</f>
        <v/>
      </c>
      <c r="F177" s="192">
        <f ca="1">IF(Ruimtestaat!F177&gt;0,Schoonmaaknormen!BV177*calculatietarief,"")</f>
        <v>0</v>
      </c>
      <c r="G177" s="191" t="str">
        <f ca="1">IF(Ruimtestaat!G177&gt;0,Schoonmaaknormen!BW177*calculatietarief,"")</f>
        <v/>
      </c>
      <c r="H177" s="191" t="str">
        <f ca="1">IF(Ruimtestaat!H177&gt;0,Schoonmaaknormen!BX177*calculatietarief,"")</f>
        <v/>
      </c>
      <c r="I177" s="193" t="str">
        <f ca="1">IF(Ruimtestaat!I177&gt;0,Schoonmaaknormen!BY177*calculatietarief,"")</f>
        <v/>
      </c>
      <c r="J177" s="193" t="str">
        <f ca="1">IF(Ruimtestaat!J177&gt;0,Schoonmaaknormen!BZ177*calculatietarief,"")</f>
        <v/>
      </c>
      <c r="K177" s="580" t="str">
        <f>IF(Schoonmaaknormen!K177&gt;0,Schoonmaaknormen!CA177*calculatietarief,"")</f>
        <v/>
      </c>
      <c r="L177" s="528">
        <f ca="1">SUM(D177:K182)</f>
        <v>0</v>
      </c>
      <c r="M177" s="172" t="b">
        <f>IF(_xlfn.XLOOKUP(Schoonmaaknormen!BB177,Tabel2[Locatiecode],Tabel2[Type locatie],"",0)="vaccin",TRUE,FALSE)</f>
        <v>0</v>
      </c>
    </row>
    <row r="178" spans="1:13" ht="0.2" customHeight="1" x14ac:dyDescent="0.2">
      <c r="A178" s="172">
        <f ca="1">Ruimtestaat!A178</f>
        <v>2</v>
      </c>
      <c r="B178" s="527"/>
      <c r="C178" s="10">
        <v>204</v>
      </c>
      <c r="D178" s="190" t="str">
        <f ca="1">IF(Ruimtestaat!D178&gt;0,Schoonmaaknormen!BT178*calculatietarief,"")</f>
        <v/>
      </c>
      <c r="E178" s="191" t="str">
        <f ca="1">IF(Ruimtestaat!E178&gt;0,Schoonmaaknormen!BU178*calculatietarief,"")</f>
        <v/>
      </c>
      <c r="F178" s="192" t="str">
        <f ca="1">IF(Ruimtestaat!F178&gt;0,Schoonmaaknormen!BV178*calculatietarief,"")</f>
        <v/>
      </c>
      <c r="G178" s="191" t="str">
        <f ca="1">IF(Ruimtestaat!G178&gt;0,Schoonmaaknormen!BW178*calculatietarief,"")</f>
        <v/>
      </c>
      <c r="H178" s="191" t="str">
        <f ca="1">IF(Ruimtestaat!H178&gt;0,Schoonmaaknormen!BX178*calculatietarief,"")</f>
        <v/>
      </c>
      <c r="I178" s="193" t="str">
        <f ca="1">IF(Ruimtestaat!I178&gt;0,Schoonmaaknormen!BY178*calculatietarief,"")</f>
        <v/>
      </c>
      <c r="J178" s="193" t="str">
        <f ca="1">IF(Ruimtestaat!J178&gt;0,Schoonmaaknormen!BZ178*calculatietarief,"")</f>
        <v/>
      </c>
      <c r="K178" s="580"/>
      <c r="L178" s="528"/>
      <c r="M178" s="172" t="b">
        <f>IF(_xlfn.XLOOKUP(Schoonmaaknormen!BB178,Tabel2[Locatiecode],Tabel2[Type locatie],"",0)="vaccin",TRUE,FALSE)</f>
        <v>0</v>
      </c>
    </row>
    <row r="179" spans="1:13" ht="0.2" customHeight="1" x14ac:dyDescent="0.2">
      <c r="A179" s="172">
        <f ca="1">Ruimtestaat!A179</f>
        <v>2</v>
      </c>
      <c r="B179" s="527"/>
      <c r="C179" s="10">
        <v>156</v>
      </c>
      <c r="D179" s="190" t="str">
        <f ca="1">IF(Ruimtestaat!D179&gt;0,Schoonmaaknormen!BT179*calculatietarief,"")</f>
        <v/>
      </c>
      <c r="E179" s="191" t="str">
        <f ca="1">IF(Ruimtestaat!E179&gt;0,Schoonmaaknormen!BU179*calculatietarief,"")</f>
        <v/>
      </c>
      <c r="F179" s="192" t="str">
        <f ca="1">IF(Ruimtestaat!F179&gt;0,Schoonmaaknormen!BV179*calculatietarief,"")</f>
        <v/>
      </c>
      <c r="G179" s="191" t="str">
        <f ca="1">IF(Ruimtestaat!G179&gt;0,Schoonmaaknormen!BW179*calculatietarief,"")</f>
        <v/>
      </c>
      <c r="H179" s="191" t="str">
        <f ca="1">IF(Ruimtestaat!H179&gt;0,Schoonmaaknormen!BX179*calculatietarief,"")</f>
        <v/>
      </c>
      <c r="I179" s="193" t="str">
        <f ca="1">IF(Ruimtestaat!I179&gt;0,Schoonmaaknormen!BY179*calculatietarief,"")</f>
        <v/>
      </c>
      <c r="J179" s="193" t="str">
        <f ca="1">IF(Ruimtestaat!J179&gt;0,Schoonmaaknormen!BZ179*calculatietarief,"")</f>
        <v/>
      </c>
      <c r="K179" s="580"/>
      <c r="L179" s="528"/>
      <c r="M179" s="172" t="b">
        <f>IF(_xlfn.XLOOKUP(Schoonmaaknormen!BB179,Tabel2[Locatiecode],Tabel2[Type locatie],"",0)="vaccin",TRUE,FALSE)</f>
        <v>0</v>
      </c>
    </row>
    <row r="180" spans="1:13" ht="0.2" customHeight="1" x14ac:dyDescent="0.2">
      <c r="A180" s="172">
        <f ca="1">Ruimtestaat!A180</f>
        <v>2</v>
      </c>
      <c r="B180" s="527"/>
      <c r="C180" s="10">
        <v>104</v>
      </c>
      <c r="D180" s="194" t="str">
        <f ca="1">IF(Ruimtestaat!D180&gt;0,Schoonmaaknormen!BT180*calculatietarief,"")</f>
        <v/>
      </c>
      <c r="E180" s="192" t="str">
        <f ca="1">IF(Ruimtestaat!E180&gt;0,Schoonmaaknormen!BU180*calculatietarief,"")</f>
        <v/>
      </c>
      <c r="F180" s="192" t="str">
        <f ca="1">IF(Ruimtestaat!F180&gt;0,Schoonmaaknormen!BV180*calculatietarief,"")</f>
        <v/>
      </c>
      <c r="G180" s="192" t="str">
        <f ca="1">IF(Ruimtestaat!G180&gt;0,Schoonmaaknormen!BW180*calculatietarief,"")</f>
        <v/>
      </c>
      <c r="H180" s="192" t="str">
        <f ca="1">IF(Ruimtestaat!H180&gt;0,Schoonmaaknormen!BX180*calculatietarief,"")</f>
        <v/>
      </c>
      <c r="I180" s="193" t="str">
        <f ca="1">IF(Ruimtestaat!I180&gt;0,Schoonmaaknormen!BY180*calculatietarief,"")</f>
        <v/>
      </c>
      <c r="J180" s="193" t="str">
        <f ca="1">IF(Ruimtestaat!J180&gt;0,Schoonmaaknormen!BZ180*calculatietarief,"")</f>
        <v/>
      </c>
      <c r="K180" s="581" t="str">
        <f>IF(Ruimtestaat!K179&gt;0,Schoonmaaknormen!CA180*calculatietarief,"")</f>
        <v/>
      </c>
      <c r="L180" s="529"/>
      <c r="M180" s="172" t="b">
        <f>IF(_xlfn.XLOOKUP(Schoonmaaknormen!BB180,Tabel2[Locatiecode],Tabel2[Type locatie],"",0)="vaccin",TRUE,FALSE)</f>
        <v>0</v>
      </c>
    </row>
    <row r="181" spans="1:13" ht="0.2" customHeight="1" x14ac:dyDescent="0.2">
      <c r="A181" s="172">
        <f ca="1">Ruimtestaat!A181</f>
        <v>0</v>
      </c>
      <c r="B181" s="527"/>
      <c r="C181" s="10">
        <v>52</v>
      </c>
      <c r="D181" s="194" t="str">
        <f ca="1">IF(Ruimtestaat!D181&gt;0,Schoonmaaknormen!BT181*calculatietarief,"")</f>
        <v/>
      </c>
      <c r="E181" s="192" t="str">
        <f ca="1">IF(Ruimtestaat!E181&gt;0,Schoonmaaknormen!BU181*calculatietarief,"")</f>
        <v/>
      </c>
      <c r="F181" s="192" t="str">
        <f ca="1">IF(Ruimtestaat!F181&gt;0,Schoonmaaknormen!BV181*calculatietarief,"")</f>
        <v/>
      </c>
      <c r="G181" s="192" t="str">
        <f ca="1">IF(Ruimtestaat!G181&gt;0,Schoonmaaknormen!BW181*calculatietarief,"")</f>
        <v/>
      </c>
      <c r="H181" s="192" t="str">
        <f ca="1">IF(Ruimtestaat!H181&gt;0,Schoonmaaknormen!BX181*calculatietarief,"")</f>
        <v/>
      </c>
      <c r="I181" s="193" t="str">
        <f ca="1">IF(Ruimtestaat!I181&gt;0,Schoonmaaknormen!BY181*calculatietarief,"")</f>
        <v/>
      </c>
      <c r="J181" s="193" t="str">
        <f ca="1">IF(Ruimtestaat!J181&gt;0,Schoonmaaknormen!BZ181*calculatietarief,"")</f>
        <v/>
      </c>
      <c r="K181" s="581"/>
      <c r="L181" s="529"/>
      <c r="M181" s="172" t="b">
        <f>IF(_xlfn.XLOOKUP(Schoonmaaknormen!BB181,Tabel2[Locatiecode],Tabel2[Type locatie],"",0)="vaccin",TRUE,FALSE)</f>
        <v>0</v>
      </c>
    </row>
    <row r="182" spans="1:13" ht="0.2" customHeight="1" x14ac:dyDescent="0.2">
      <c r="A182" s="172">
        <f ca="1">Ruimtestaat!A182</f>
        <v>2</v>
      </c>
      <c r="B182" s="527"/>
      <c r="C182" s="10">
        <v>4</v>
      </c>
      <c r="D182" s="194" t="str">
        <f ca="1">IF(Ruimtestaat!D182&gt;0,Schoonmaaknormen!BT182*calculatietarief,"")</f>
        <v/>
      </c>
      <c r="E182" s="192" t="str">
        <f ca="1">IF(Ruimtestaat!E182&gt;0,Schoonmaaknormen!BU182*calculatietarief,"")</f>
        <v/>
      </c>
      <c r="F182" s="192" t="str">
        <f ca="1">IF(Ruimtestaat!F182&gt;0,Schoonmaaknormen!BV182*calculatietarief,"")</f>
        <v/>
      </c>
      <c r="G182" s="192" t="str">
        <f ca="1">IF(Ruimtestaat!G182&gt;0,Schoonmaaknormen!BW182*calculatietarief,"")</f>
        <v/>
      </c>
      <c r="H182" s="192" t="str">
        <f ca="1">IF(Ruimtestaat!H182&gt;0,Schoonmaaknormen!BX182*calculatietarief,"")</f>
        <v/>
      </c>
      <c r="I182" s="193" t="str">
        <f ca="1">IF(Ruimtestaat!I182&gt;0,Schoonmaaknormen!BY182*calculatietarief,"")</f>
        <v/>
      </c>
      <c r="J182" s="193" t="str">
        <f ca="1">IF(Ruimtestaat!J182&gt;0,Schoonmaaknormen!BZ182*calculatietarief,"")</f>
        <v/>
      </c>
      <c r="K182" s="581" t="str">
        <f>IF(Ruimtestaat!K182&gt;0,Schoonmaaknormen!CA182*calculatietarief,"")</f>
        <v/>
      </c>
      <c r="L182" s="529"/>
      <c r="M182" s="172" t="b">
        <f>IF(_xlfn.XLOOKUP(Schoonmaaknormen!BB182,Tabel2[Locatiecode],Tabel2[Type locatie],"",0)="vaccin",TRUE,FALSE)</f>
        <v>0</v>
      </c>
    </row>
    <row r="183" spans="1:13" ht="15" customHeight="1" x14ac:dyDescent="0.2">
      <c r="A183" s="172">
        <f ca="1">Ruimtestaat!A183</f>
        <v>1</v>
      </c>
      <c r="B183" s="577" t="str">
        <f>Schoonmaaknormen!BB183</f>
        <v>WGN-CFL</v>
      </c>
      <c r="C183" s="10">
        <v>255</v>
      </c>
      <c r="D183" s="190">
        <f ca="1">IF(Ruimtestaat!D183&gt;0,Schoonmaaknormen!BT183*calculatietarief,"")</f>
        <v>0</v>
      </c>
      <c r="E183" s="191">
        <f ca="1">IF(Ruimtestaat!E183&gt;0,Schoonmaaknormen!BU183*calculatietarief,"")</f>
        <v>0</v>
      </c>
      <c r="F183" s="192">
        <f ca="1">IF(Ruimtestaat!F183&gt;0,Schoonmaaknormen!BV183*calculatietarief,"")</f>
        <v>0</v>
      </c>
      <c r="G183" s="191" t="str">
        <f ca="1">IF(Ruimtestaat!G183&gt;0,Schoonmaaknormen!BW183*calculatietarief,"")</f>
        <v/>
      </c>
      <c r="H183" s="191">
        <f ca="1">IF(Ruimtestaat!H183&gt;0,Schoonmaaknormen!BX183*calculatietarief,"")</f>
        <v>0</v>
      </c>
      <c r="I183" s="193" t="str">
        <f ca="1">IF(Ruimtestaat!I183&gt;0,Schoonmaaknormen!BY183*calculatietarief,"")</f>
        <v/>
      </c>
      <c r="J183" s="193" t="str">
        <f ca="1">IF(Ruimtestaat!J183&gt;0,Schoonmaaknormen!BZ183*calculatietarief,"")</f>
        <v/>
      </c>
      <c r="K183" s="559" t="str">
        <f>IF(Schoonmaaknormen!K183&gt;0,Schoonmaaknormen!CA183*calculatietarief,"")</f>
        <v/>
      </c>
      <c r="L183" s="551">
        <f ca="1">SUM(D183:K188)</f>
        <v>0</v>
      </c>
      <c r="M183" s="172" t="b">
        <f>IF(_xlfn.XLOOKUP(Schoonmaaknormen!BB183,Tabel2[Locatiecode],Tabel2[Type locatie],"",0)="vaccin",TRUE,FALSE)</f>
        <v>0</v>
      </c>
    </row>
    <row r="184" spans="1:13" ht="0.2" customHeight="1" x14ac:dyDescent="0.2">
      <c r="A184" s="172">
        <f ca="1">Ruimtestaat!A184</f>
        <v>2</v>
      </c>
      <c r="B184" s="578"/>
      <c r="C184" s="10">
        <v>204</v>
      </c>
      <c r="D184" s="190" t="str">
        <f ca="1">IF(Ruimtestaat!D184&gt;0,Schoonmaaknormen!BT184*calculatietarief,"")</f>
        <v/>
      </c>
      <c r="E184" s="191" t="str">
        <f ca="1">IF(Ruimtestaat!E184&gt;0,Schoonmaaknormen!BU184*calculatietarief,"")</f>
        <v/>
      </c>
      <c r="F184" s="192" t="str">
        <f ca="1">IF(Ruimtestaat!F184&gt;0,Schoonmaaknormen!BV184*calculatietarief,"")</f>
        <v/>
      </c>
      <c r="G184" s="191" t="str">
        <f ca="1">IF(Ruimtestaat!G184&gt;0,Schoonmaaknormen!BW184*calculatietarief,"")</f>
        <v/>
      </c>
      <c r="H184" s="191" t="str">
        <f ca="1">IF(Ruimtestaat!H184&gt;0,Schoonmaaknormen!BX184*calculatietarief,"")</f>
        <v/>
      </c>
      <c r="I184" s="193" t="str">
        <f ca="1">IF(Ruimtestaat!I184&gt;0,Schoonmaaknormen!BY184*calculatietarief,"")</f>
        <v/>
      </c>
      <c r="J184" s="193" t="str">
        <f ca="1">IF(Ruimtestaat!J184&gt;0,Schoonmaaknormen!BZ184*calculatietarief,"")</f>
        <v/>
      </c>
      <c r="K184" s="560"/>
      <c r="L184" s="552"/>
      <c r="M184" s="172" t="b">
        <f>IF(_xlfn.XLOOKUP(Schoonmaaknormen!BB184,Tabel2[Locatiecode],Tabel2[Type locatie],"",0)="vaccin",TRUE,FALSE)</f>
        <v>0</v>
      </c>
    </row>
    <row r="185" spans="1:13" ht="0.2" customHeight="1" x14ac:dyDescent="0.2">
      <c r="A185" s="172">
        <f ca="1">Ruimtestaat!A185</f>
        <v>2</v>
      </c>
      <c r="B185" s="578"/>
      <c r="C185" s="10">
        <v>156</v>
      </c>
      <c r="D185" s="190" t="str">
        <f ca="1">IF(Ruimtestaat!D185&gt;0,Schoonmaaknormen!BT185*calculatietarief,"")</f>
        <v/>
      </c>
      <c r="E185" s="191" t="str">
        <f ca="1">IF(Ruimtestaat!E185&gt;0,Schoonmaaknormen!BU185*calculatietarief,"")</f>
        <v/>
      </c>
      <c r="F185" s="192" t="str">
        <f ca="1">IF(Ruimtestaat!F185&gt;0,Schoonmaaknormen!BV185*calculatietarief,"")</f>
        <v/>
      </c>
      <c r="G185" s="191" t="str">
        <f ca="1">IF(Ruimtestaat!G185&gt;0,Schoonmaaknormen!BW185*calculatietarief,"")</f>
        <v/>
      </c>
      <c r="H185" s="191" t="str">
        <f ca="1">IF(Ruimtestaat!H185&gt;0,Schoonmaaknormen!BX185*calculatietarief,"")</f>
        <v/>
      </c>
      <c r="I185" s="193" t="str">
        <f ca="1">IF(Ruimtestaat!I185&gt;0,Schoonmaaknormen!BY185*calculatietarief,"")</f>
        <v/>
      </c>
      <c r="J185" s="193" t="str">
        <f ca="1">IF(Ruimtestaat!J185&gt;0,Schoonmaaknormen!BZ185*calculatietarief,"")</f>
        <v/>
      </c>
      <c r="K185" s="560"/>
      <c r="L185" s="552"/>
      <c r="M185" s="172" t="b">
        <f>IF(_xlfn.XLOOKUP(Schoonmaaknormen!BB185,Tabel2[Locatiecode],Tabel2[Type locatie],"",0)="vaccin",TRUE,FALSE)</f>
        <v>0</v>
      </c>
    </row>
    <row r="186" spans="1:13" ht="0.2" customHeight="1" x14ac:dyDescent="0.2">
      <c r="A186" s="172">
        <f ca="1">Ruimtestaat!A186</f>
        <v>2</v>
      </c>
      <c r="B186" s="578"/>
      <c r="C186" s="10">
        <v>104</v>
      </c>
      <c r="D186" s="194" t="str">
        <f ca="1">IF(Ruimtestaat!D186&gt;0,Schoonmaaknormen!BT186*calculatietarief,"")</f>
        <v/>
      </c>
      <c r="E186" s="192" t="str">
        <f ca="1">IF(Ruimtestaat!E186&gt;0,Schoonmaaknormen!BU186*calculatietarief,"")</f>
        <v/>
      </c>
      <c r="F186" s="192" t="str">
        <f ca="1">IF(Ruimtestaat!F186&gt;0,Schoonmaaknormen!BV186*calculatietarief,"")</f>
        <v/>
      </c>
      <c r="G186" s="192" t="str">
        <f ca="1">IF(Ruimtestaat!G186&gt;0,Schoonmaaknormen!BW186*calculatietarief,"")</f>
        <v/>
      </c>
      <c r="H186" s="192" t="str">
        <f ca="1">IF(Ruimtestaat!H186&gt;0,Schoonmaaknormen!BX186*calculatietarief,"")</f>
        <v/>
      </c>
      <c r="I186" s="193" t="str">
        <f ca="1">IF(Ruimtestaat!I186&gt;0,Schoonmaaknormen!BY186*calculatietarief,"")</f>
        <v/>
      </c>
      <c r="J186" s="193" t="str">
        <f ca="1">IF(Ruimtestaat!J186&gt;0,Schoonmaaknormen!BZ186*calculatietarief,"")</f>
        <v/>
      </c>
      <c r="K186" s="561" t="str">
        <f>IF(Ruimtestaat!K185&gt;0,Schoonmaaknormen!CA186*calculatietarief,"")</f>
        <v/>
      </c>
      <c r="L186" s="553"/>
      <c r="M186" s="172" t="b">
        <f>IF(_xlfn.XLOOKUP(Schoonmaaknormen!BB186,Tabel2[Locatiecode],Tabel2[Type locatie],"",0)="vaccin",TRUE,FALSE)</f>
        <v>0</v>
      </c>
    </row>
    <row r="187" spans="1:13" ht="0.2" customHeight="1" x14ac:dyDescent="0.2">
      <c r="A187" s="172">
        <f ca="1">Ruimtestaat!A187</f>
        <v>0</v>
      </c>
      <c r="B187" s="578"/>
      <c r="C187" s="10">
        <v>52</v>
      </c>
      <c r="D187" s="194" t="str">
        <f ca="1">IF(Ruimtestaat!D187&gt;0,Schoonmaaknormen!BT187*calculatietarief,"")</f>
        <v/>
      </c>
      <c r="E187" s="192" t="str">
        <f ca="1">IF(Ruimtestaat!E187&gt;0,Schoonmaaknormen!BU187*calculatietarief,"")</f>
        <v/>
      </c>
      <c r="F187" s="192" t="str">
        <f ca="1">IF(Ruimtestaat!F187&gt;0,Schoonmaaknormen!BV187*calculatietarief,"")</f>
        <v/>
      </c>
      <c r="G187" s="192" t="str">
        <f ca="1">IF(Ruimtestaat!G187&gt;0,Schoonmaaknormen!BW187*calculatietarief,"")</f>
        <v/>
      </c>
      <c r="H187" s="192" t="str">
        <f ca="1">IF(Ruimtestaat!H187&gt;0,Schoonmaaknormen!BX187*calculatietarief,"")</f>
        <v/>
      </c>
      <c r="I187" s="193" t="str">
        <f ca="1">IF(Ruimtestaat!I187&gt;0,Schoonmaaknormen!BY187*calculatietarief,"")</f>
        <v/>
      </c>
      <c r="J187" s="193" t="str">
        <f ca="1">IF(Ruimtestaat!J187&gt;0,Schoonmaaknormen!BZ187*calculatietarief,"")</f>
        <v/>
      </c>
      <c r="K187" s="561"/>
      <c r="L187" s="553"/>
      <c r="M187" s="172" t="b">
        <f>IF(_xlfn.XLOOKUP(Schoonmaaknormen!BB187,Tabel2[Locatiecode],Tabel2[Type locatie],"",0)="vaccin",TRUE,FALSE)</f>
        <v>0</v>
      </c>
    </row>
    <row r="188" spans="1:13" ht="0.2" customHeight="1" x14ac:dyDescent="0.2">
      <c r="A188" s="172">
        <f ca="1">Ruimtestaat!A188</f>
        <v>2</v>
      </c>
      <c r="B188" s="579"/>
      <c r="C188" s="10">
        <v>4</v>
      </c>
      <c r="D188" s="194" t="str">
        <f ca="1">IF(Ruimtestaat!D188&gt;0,Schoonmaaknormen!BT188*calculatietarief,"")</f>
        <v/>
      </c>
      <c r="E188" s="192" t="str">
        <f ca="1">IF(Ruimtestaat!E188&gt;0,Schoonmaaknormen!BU188*calculatietarief,"")</f>
        <v/>
      </c>
      <c r="F188" s="192" t="str">
        <f ca="1">IF(Ruimtestaat!F188&gt;0,Schoonmaaknormen!BV188*calculatietarief,"")</f>
        <v/>
      </c>
      <c r="G188" s="192" t="str">
        <f ca="1">IF(Ruimtestaat!G188&gt;0,Schoonmaaknormen!BW188*calculatietarief,"")</f>
        <v/>
      </c>
      <c r="H188" s="192" t="str">
        <f ca="1">IF(Ruimtestaat!H188&gt;0,Schoonmaaknormen!BX188*calculatietarief,"")</f>
        <v/>
      </c>
      <c r="I188" s="193" t="str">
        <f ca="1">IF(Ruimtestaat!I188&gt;0,Schoonmaaknormen!BY188*calculatietarief,"")</f>
        <v/>
      </c>
      <c r="J188" s="193" t="str">
        <f ca="1">IF(Ruimtestaat!J188&gt;0,Schoonmaaknormen!BZ188*calculatietarief,"")</f>
        <v/>
      </c>
      <c r="K188" s="562" t="str">
        <f>IF(Ruimtestaat!K188&gt;0,Schoonmaaknormen!CA188*calculatietarief,"")</f>
        <v/>
      </c>
      <c r="L188" s="554"/>
      <c r="M188" s="172" t="b">
        <f>IF(_xlfn.XLOOKUP(Schoonmaaknormen!BB188,Tabel2[Locatiecode],Tabel2[Type locatie],"",0)="vaccin",TRUE,FALSE)</f>
        <v>0</v>
      </c>
    </row>
    <row r="189" spans="1:13" ht="15" customHeight="1" x14ac:dyDescent="0.2">
      <c r="A189" s="172">
        <f ca="1">Ruimtestaat!A189</f>
        <v>1</v>
      </c>
      <c r="B189" s="577" t="str">
        <f>Schoonmaaknormen!BB189</f>
        <v>WRM-DBK</v>
      </c>
      <c r="C189" s="10">
        <v>255</v>
      </c>
      <c r="D189" s="190">
        <f ca="1">IF(Ruimtestaat!D189&gt;0,Schoonmaaknormen!BT189*calculatietarief,"")</f>
        <v>0</v>
      </c>
      <c r="E189" s="191">
        <f ca="1">IF(Ruimtestaat!E189&gt;0,Schoonmaaknormen!BU189*calculatietarief,"")</f>
        <v>0</v>
      </c>
      <c r="F189" s="192">
        <f ca="1">IF(Ruimtestaat!F189&gt;0,Schoonmaaknormen!BV189*calculatietarief,"")</f>
        <v>0</v>
      </c>
      <c r="G189" s="191" t="str">
        <f ca="1">IF(Ruimtestaat!G189&gt;0,Schoonmaaknormen!BW189*calculatietarief,"")</f>
        <v/>
      </c>
      <c r="H189" s="191">
        <f ca="1">IF(Ruimtestaat!H189&gt;0,Schoonmaaknormen!BX189*calculatietarief,"")</f>
        <v>0</v>
      </c>
      <c r="I189" s="193">
        <f ca="1">IF(Ruimtestaat!I189&gt;0,Schoonmaaknormen!BY189*calculatietarief,"")</f>
        <v>0</v>
      </c>
      <c r="J189" s="193" t="str">
        <f ca="1">IF(Ruimtestaat!J189&gt;0,Schoonmaaknormen!BZ189*calculatietarief,"")</f>
        <v/>
      </c>
      <c r="K189" s="559" t="str">
        <f>IF(Schoonmaaknormen!K189&gt;0,Schoonmaaknormen!CA189*calculatietarief,"")</f>
        <v/>
      </c>
      <c r="L189" s="551">
        <f ca="1">SUM(D189:K194)</f>
        <v>0</v>
      </c>
      <c r="M189" s="172" t="b">
        <f>IF(_xlfn.XLOOKUP(Schoonmaaknormen!BB189,Tabel2[Locatiecode],Tabel2[Type locatie],"",0)="vaccin",TRUE,FALSE)</f>
        <v>0</v>
      </c>
    </row>
    <row r="190" spans="1:13" ht="0.2" customHeight="1" x14ac:dyDescent="0.2">
      <c r="A190" s="172">
        <f ca="1">Ruimtestaat!A190</f>
        <v>2</v>
      </c>
      <c r="B190" s="578"/>
      <c r="C190" s="10">
        <v>204</v>
      </c>
      <c r="D190" s="190" t="str">
        <f ca="1">IF(Ruimtestaat!D190&gt;0,Schoonmaaknormen!BT190*calculatietarief,"")</f>
        <v/>
      </c>
      <c r="E190" s="191" t="str">
        <f ca="1">IF(Ruimtestaat!E190&gt;0,Schoonmaaknormen!BU190*calculatietarief,"")</f>
        <v/>
      </c>
      <c r="F190" s="192" t="str">
        <f ca="1">IF(Ruimtestaat!F190&gt;0,Schoonmaaknormen!BV190*calculatietarief,"")</f>
        <v/>
      </c>
      <c r="G190" s="191" t="str">
        <f ca="1">IF(Ruimtestaat!G190&gt;0,Schoonmaaknormen!BW190*calculatietarief,"")</f>
        <v/>
      </c>
      <c r="H190" s="191" t="str">
        <f ca="1">IF(Ruimtestaat!H190&gt;0,Schoonmaaknormen!BX190*calculatietarief,"")</f>
        <v/>
      </c>
      <c r="I190" s="193" t="str">
        <f ca="1">IF(Ruimtestaat!I190&gt;0,Schoonmaaknormen!BY190*calculatietarief,"")</f>
        <v/>
      </c>
      <c r="J190" s="193" t="str">
        <f ca="1">IF(Ruimtestaat!J190&gt;0,Schoonmaaknormen!BZ190*calculatietarief,"")</f>
        <v/>
      </c>
      <c r="K190" s="560"/>
      <c r="L190" s="552"/>
      <c r="M190" s="172" t="b">
        <f>IF(_xlfn.XLOOKUP(Schoonmaaknormen!BB190,Tabel2[Locatiecode],Tabel2[Type locatie],"",0)="vaccin",TRUE,FALSE)</f>
        <v>0</v>
      </c>
    </row>
    <row r="191" spans="1:13" ht="0.2" customHeight="1" x14ac:dyDescent="0.2">
      <c r="A191" s="172">
        <f ca="1">Ruimtestaat!A191</f>
        <v>2</v>
      </c>
      <c r="B191" s="578"/>
      <c r="C191" s="10">
        <v>156</v>
      </c>
      <c r="D191" s="190" t="str">
        <f ca="1">IF(Ruimtestaat!D191&gt;0,Schoonmaaknormen!BT191*calculatietarief,"")</f>
        <v/>
      </c>
      <c r="E191" s="191" t="str">
        <f ca="1">IF(Ruimtestaat!E191&gt;0,Schoonmaaknormen!BU191*calculatietarief,"")</f>
        <v/>
      </c>
      <c r="F191" s="192" t="str">
        <f ca="1">IF(Ruimtestaat!F191&gt;0,Schoonmaaknormen!BV191*calculatietarief,"")</f>
        <v/>
      </c>
      <c r="G191" s="191" t="str">
        <f ca="1">IF(Ruimtestaat!G191&gt;0,Schoonmaaknormen!BW191*calculatietarief,"")</f>
        <v/>
      </c>
      <c r="H191" s="191" t="str">
        <f ca="1">IF(Ruimtestaat!H191&gt;0,Schoonmaaknormen!BX191*calculatietarief,"")</f>
        <v/>
      </c>
      <c r="I191" s="193" t="str">
        <f ca="1">IF(Ruimtestaat!I191&gt;0,Schoonmaaknormen!BY191*calculatietarief,"")</f>
        <v/>
      </c>
      <c r="J191" s="193" t="str">
        <f ca="1">IF(Ruimtestaat!J191&gt;0,Schoonmaaknormen!BZ191*calculatietarief,"")</f>
        <v/>
      </c>
      <c r="K191" s="560"/>
      <c r="L191" s="552"/>
      <c r="M191" s="172" t="b">
        <f>IF(_xlfn.XLOOKUP(Schoonmaaknormen!BB191,Tabel2[Locatiecode],Tabel2[Type locatie],"",0)="vaccin",TRUE,FALSE)</f>
        <v>0</v>
      </c>
    </row>
    <row r="192" spans="1:13" ht="0.2" customHeight="1" x14ac:dyDescent="0.2">
      <c r="A192" s="172">
        <f ca="1">Ruimtestaat!A192</f>
        <v>2</v>
      </c>
      <c r="B192" s="578"/>
      <c r="C192" s="10">
        <v>104</v>
      </c>
      <c r="D192" s="194" t="str">
        <f ca="1">IF(Ruimtestaat!D192&gt;0,Schoonmaaknormen!BT192*calculatietarief,"")</f>
        <v/>
      </c>
      <c r="E192" s="192" t="str">
        <f ca="1">IF(Ruimtestaat!E192&gt;0,Schoonmaaknormen!BU192*calculatietarief,"")</f>
        <v/>
      </c>
      <c r="F192" s="192" t="str">
        <f ca="1">IF(Ruimtestaat!F192&gt;0,Schoonmaaknormen!BV192*calculatietarief,"")</f>
        <v/>
      </c>
      <c r="G192" s="192" t="str">
        <f ca="1">IF(Ruimtestaat!G192&gt;0,Schoonmaaknormen!BW192*calculatietarief,"")</f>
        <v/>
      </c>
      <c r="H192" s="192" t="str">
        <f ca="1">IF(Ruimtestaat!H192&gt;0,Schoonmaaknormen!BX192*calculatietarief,"")</f>
        <v/>
      </c>
      <c r="I192" s="193" t="str">
        <f ca="1">IF(Ruimtestaat!I192&gt;0,Schoonmaaknormen!BY192*calculatietarief,"")</f>
        <v/>
      </c>
      <c r="J192" s="193" t="str">
        <f ca="1">IF(Ruimtestaat!J192&gt;0,Schoonmaaknormen!BZ192*calculatietarief,"")</f>
        <v/>
      </c>
      <c r="K192" s="561" t="str">
        <f>IF(Ruimtestaat!K191&gt;0,Schoonmaaknormen!CA192*calculatietarief,"")</f>
        <v/>
      </c>
      <c r="L192" s="553"/>
      <c r="M192" s="172" t="b">
        <f>IF(_xlfn.XLOOKUP(Schoonmaaknormen!BB192,Tabel2[Locatiecode],Tabel2[Type locatie],"",0)="vaccin",TRUE,FALSE)</f>
        <v>0</v>
      </c>
    </row>
    <row r="193" spans="1:13" ht="0.2" customHeight="1" x14ac:dyDescent="0.2">
      <c r="A193" s="172">
        <f ca="1">Ruimtestaat!A193</f>
        <v>0</v>
      </c>
      <c r="B193" s="578"/>
      <c r="C193" s="10">
        <v>52</v>
      </c>
      <c r="D193" s="194" t="str">
        <f ca="1">IF(Ruimtestaat!D193&gt;0,Schoonmaaknormen!BT193*calculatietarief,"")</f>
        <v/>
      </c>
      <c r="E193" s="192" t="str">
        <f ca="1">IF(Ruimtestaat!E193&gt;0,Schoonmaaknormen!BU193*calculatietarief,"")</f>
        <v/>
      </c>
      <c r="F193" s="192" t="str">
        <f ca="1">IF(Ruimtestaat!F193&gt;0,Schoonmaaknormen!BV193*calculatietarief,"")</f>
        <v/>
      </c>
      <c r="G193" s="192" t="str">
        <f ca="1">IF(Ruimtestaat!G193&gt;0,Schoonmaaknormen!BW193*calculatietarief,"")</f>
        <v/>
      </c>
      <c r="H193" s="192" t="str">
        <f ca="1">IF(Ruimtestaat!H193&gt;0,Schoonmaaknormen!BX193*calculatietarief,"")</f>
        <v/>
      </c>
      <c r="I193" s="193" t="str">
        <f ca="1">IF(Ruimtestaat!I193&gt;0,Schoonmaaknormen!BY193*calculatietarief,"")</f>
        <v/>
      </c>
      <c r="J193" s="193" t="str">
        <f ca="1">IF(Ruimtestaat!J193&gt;0,Schoonmaaknormen!BZ193*calculatietarief,"")</f>
        <v/>
      </c>
      <c r="K193" s="561"/>
      <c r="L193" s="553"/>
      <c r="M193" s="172" t="b">
        <f>IF(_xlfn.XLOOKUP(Schoonmaaknormen!BB193,Tabel2[Locatiecode],Tabel2[Type locatie],"",0)="vaccin",TRUE,FALSE)</f>
        <v>0</v>
      </c>
    </row>
    <row r="194" spans="1:13" ht="0.2" customHeight="1" x14ac:dyDescent="0.2">
      <c r="A194" s="172">
        <f ca="1">Ruimtestaat!A194</f>
        <v>2</v>
      </c>
      <c r="B194" s="579"/>
      <c r="C194" s="10">
        <v>4</v>
      </c>
      <c r="D194" s="194" t="str">
        <f ca="1">IF(Ruimtestaat!D194&gt;0,Schoonmaaknormen!BT194*calculatietarief,"")</f>
        <v/>
      </c>
      <c r="E194" s="192" t="str">
        <f ca="1">IF(Ruimtestaat!E194&gt;0,Schoonmaaknormen!BU194*calculatietarief,"")</f>
        <v/>
      </c>
      <c r="F194" s="192" t="str">
        <f ca="1">IF(Ruimtestaat!F194&gt;0,Schoonmaaknormen!BV194*calculatietarief,"")</f>
        <v/>
      </c>
      <c r="G194" s="192" t="str">
        <f ca="1">IF(Ruimtestaat!G194&gt;0,Schoonmaaknormen!BW194*calculatietarief,"")</f>
        <v/>
      </c>
      <c r="H194" s="192" t="str">
        <f ca="1">IF(Ruimtestaat!H194&gt;0,Schoonmaaknormen!BX194*calculatietarief,"")</f>
        <v/>
      </c>
      <c r="I194" s="193" t="str">
        <f ca="1">IF(Ruimtestaat!I194&gt;0,Schoonmaaknormen!BY194*calculatietarief,"")</f>
        <v/>
      </c>
      <c r="J194" s="193" t="str">
        <f ca="1">IF(Ruimtestaat!J194&gt;0,Schoonmaaknormen!BZ194*calculatietarief,"")</f>
        <v/>
      </c>
      <c r="K194" s="562" t="str">
        <f>IF(Ruimtestaat!K194&gt;0,Schoonmaaknormen!CA194*calculatietarief,"")</f>
        <v/>
      </c>
      <c r="L194" s="554"/>
      <c r="M194" s="172" t="b">
        <f>IF(_xlfn.XLOOKUP(Schoonmaaknormen!BB194,Tabel2[Locatiecode],Tabel2[Type locatie],"",0)="vaccin",TRUE,FALSE)</f>
        <v>0</v>
      </c>
    </row>
    <row r="195" spans="1:13" ht="15" customHeight="1" x14ac:dyDescent="0.2">
      <c r="A195" s="172">
        <f ca="1">Ruimtestaat!A195</f>
        <v>1</v>
      </c>
      <c r="B195" s="577" t="str">
        <f>Schoonmaaknormen!BB195</f>
        <v>WRV-OLW</v>
      </c>
      <c r="C195" s="10">
        <v>255</v>
      </c>
      <c r="D195" s="190">
        <f ca="1">IF(Ruimtestaat!D195&gt;0,Schoonmaaknormen!BT195*calculatietarief,"")</f>
        <v>0</v>
      </c>
      <c r="E195" s="191">
        <f ca="1">IF(Ruimtestaat!E195&gt;0,Schoonmaaknormen!BU195*calculatietarief,"")</f>
        <v>0</v>
      </c>
      <c r="F195" s="192">
        <f ca="1">IF(Ruimtestaat!F195&gt;0,Schoonmaaknormen!BV195*calculatietarief,"")</f>
        <v>0</v>
      </c>
      <c r="G195" s="191" t="str">
        <f>IF(Ruimtestaat!G195&gt;0,Schoonmaaknormen!BW195*calculatietarief,"")</f>
        <v/>
      </c>
      <c r="H195" s="191">
        <f ca="1">IF(Ruimtestaat!H195&gt;0,Schoonmaaknormen!BX195*calculatietarief,"")</f>
        <v>0</v>
      </c>
      <c r="I195" s="193">
        <f ca="1">IF(Ruimtestaat!I195&gt;0,Schoonmaaknormen!BY195*calculatietarief,"")</f>
        <v>0</v>
      </c>
      <c r="J195" s="193" t="str">
        <f ca="1">IF(Ruimtestaat!J195&gt;0,Schoonmaaknormen!BZ195*calculatietarief,"")</f>
        <v/>
      </c>
      <c r="K195" s="559" t="str">
        <f>IF(Schoonmaaknormen!K195&gt;0,Schoonmaaknormen!CA195*calculatietarief,"")</f>
        <v/>
      </c>
      <c r="L195" s="551">
        <f ca="1">SUM(D195:K200)</f>
        <v>0</v>
      </c>
      <c r="M195" s="172" t="b">
        <f>IF(_xlfn.XLOOKUP(Schoonmaaknormen!BB195,Tabel2[Locatiecode],Tabel2[Type locatie],"",0)="vaccin",TRUE,FALSE)</f>
        <v>0</v>
      </c>
    </row>
    <row r="196" spans="1:13" ht="0.2" customHeight="1" x14ac:dyDescent="0.2">
      <c r="A196" s="172">
        <f ca="1">Ruimtestaat!A196</f>
        <v>2</v>
      </c>
      <c r="B196" s="578"/>
      <c r="C196" s="10">
        <v>204</v>
      </c>
      <c r="D196" s="190" t="str">
        <f ca="1">IF(Ruimtestaat!D196&gt;0,Schoonmaaknormen!BT196*calculatietarief,"")</f>
        <v/>
      </c>
      <c r="E196" s="191" t="str">
        <f ca="1">IF(Ruimtestaat!E196&gt;0,Schoonmaaknormen!BU196*calculatietarief,"")</f>
        <v/>
      </c>
      <c r="F196" s="192" t="str">
        <f ca="1">IF(Ruimtestaat!F196&gt;0,Schoonmaaknormen!BV196*calculatietarief,"")</f>
        <v/>
      </c>
      <c r="G196" s="191" t="str">
        <f>IF(Ruimtestaat!G196&gt;0,Schoonmaaknormen!BW196*calculatietarief,"")</f>
        <v/>
      </c>
      <c r="H196" s="191" t="str">
        <f ca="1">IF(Ruimtestaat!H196&gt;0,Schoonmaaknormen!BX196*calculatietarief,"")</f>
        <v/>
      </c>
      <c r="I196" s="193" t="str">
        <f ca="1">IF(Ruimtestaat!I196&gt;0,Schoonmaaknormen!BY196*calculatietarief,"")</f>
        <v/>
      </c>
      <c r="J196" s="193" t="str">
        <f ca="1">IF(Ruimtestaat!J196&gt;0,Schoonmaaknormen!BZ196*calculatietarief,"")</f>
        <v/>
      </c>
      <c r="K196" s="560"/>
      <c r="L196" s="552"/>
      <c r="M196" s="172" t="b">
        <f>IF(_xlfn.XLOOKUP(Schoonmaaknormen!BB196,Tabel2[Locatiecode],Tabel2[Type locatie],"",0)="vaccin",TRUE,FALSE)</f>
        <v>0</v>
      </c>
    </row>
    <row r="197" spans="1:13" ht="0.2" customHeight="1" x14ac:dyDescent="0.2">
      <c r="A197" s="172">
        <f ca="1">Ruimtestaat!A197</f>
        <v>2</v>
      </c>
      <c r="B197" s="578"/>
      <c r="C197" s="10">
        <v>156</v>
      </c>
      <c r="D197" s="190" t="str">
        <f ca="1">IF(Ruimtestaat!D197&gt;0,Schoonmaaknormen!BT197*calculatietarief,"")</f>
        <v/>
      </c>
      <c r="E197" s="191" t="str">
        <f ca="1">IF(Ruimtestaat!E197&gt;0,Schoonmaaknormen!BU197*calculatietarief,"")</f>
        <v/>
      </c>
      <c r="F197" s="192" t="str">
        <f ca="1">IF(Ruimtestaat!F197&gt;0,Schoonmaaknormen!BV197*calculatietarief,"")</f>
        <v/>
      </c>
      <c r="G197" s="191" t="str">
        <f ca="1">IF(Ruimtestaat!G197&gt;0,Schoonmaaknormen!BW197*calculatietarief,"")</f>
        <v/>
      </c>
      <c r="H197" s="191" t="str">
        <f ca="1">IF(Ruimtestaat!H197&gt;0,Schoonmaaknormen!BX197*calculatietarief,"")</f>
        <v/>
      </c>
      <c r="I197" s="193" t="str">
        <f ca="1">IF(Ruimtestaat!I197&gt;0,Schoonmaaknormen!BY197*calculatietarief,"")</f>
        <v/>
      </c>
      <c r="J197" s="193" t="str">
        <f ca="1">IF(Ruimtestaat!J197&gt;0,Schoonmaaknormen!BZ197*calculatietarief,"")</f>
        <v/>
      </c>
      <c r="K197" s="560"/>
      <c r="L197" s="552"/>
      <c r="M197" s="172" t="b">
        <f>IF(_xlfn.XLOOKUP(Schoonmaaknormen!BB197,Tabel2[Locatiecode],Tabel2[Type locatie],"",0)="vaccin",TRUE,FALSE)</f>
        <v>0</v>
      </c>
    </row>
    <row r="198" spans="1:13" ht="0.2" customHeight="1" x14ac:dyDescent="0.2">
      <c r="A198" s="172">
        <f ca="1">Ruimtestaat!A198</f>
        <v>2</v>
      </c>
      <c r="B198" s="578"/>
      <c r="C198" s="10">
        <v>104</v>
      </c>
      <c r="D198" s="194" t="str">
        <f ca="1">IF(Ruimtestaat!D198&gt;0,Schoonmaaknormen!BT198*calculatietarief,"")</f>
        <v/>
      </c>
      <c r="E198" s="192" t="str">
        <f ca="1">IF(Ruimtestaat!E198&gt;0,Schoonmaaknormen!BU198*calculatietarief,"")</f>
        <v/>
      </c>
      <c r="F198" s="192" t="str">
        <f ca="1">IF(Ruimtestaat!F198&gt;0,Schoonmaaknormen!BV198*calculatietarief,"")</f>
        <v/>
      </c>
      <c r="G198" s="192" t="str">
        <f ca="1">IF(Ruimtestaat!G198&gt;0,Schoonmaaknormen!BW198*calculatietarief,"")</f>
        <v/>
      </c>
      <c r="H198" s="192" t="str">
        <f ca="1">IF(Ruimtestaat!H198&gt;0,Schoonmaaknormen!BX198*calculatietarief,"")</f>
        <v/>
      </c>
      <c r="I198" s="193" t="str">
        <f ca="1">IF(Ruimtestaat!I198&gt;0,Schoonmaaknormen!BY198*calculatietarief,"")</f>
        <v/>
      </c>
      <c r="J198" s="193" t="str">
        <f ca="1">IF(Ruimtestaat!J198&gt;0,Schoonmaaknormen!BZ198*calculatietarief,"")</f>
        <v/>
      </c>
      <c r="K198" s="561" t="str">
        <f>IF(Ruimtestaat!K197&gt;0,Schoonmaaknormen!CA198*calculatietarief,"")</f>
        <v/>
      </c>
      <c r="L198" s="553"/>
      <c r="M198" s="172" t="b">
        <f>IF(_xlfn.XLOOKUP(Schoonmaaknormen!BB198,Tabel2[Locatiecode],Tabel2[Type locatie],"",0)="vaccin",TRUE,FALSE)</f>
        <v>0</v>
      </c>
    </row>
    <row r="199" spans="1:13" ht="0.2" customHeight="1" x14ac:dyDescent="0.2">
      <c r="A199" s="172">
        <f ca="1">Ruimtestaat!A199</f>
        <v>0</v>
      </c>
      <c r="B199" s="578"/>
      <c r="C199" s="10">
        <v>52</v>
      </c>
      <c r="D199" s="194" t="str">
        <f ca="1">IF(Ruimtestaat!D199&gt;0,Schoonmaaknormen!BT199*calculatietarief,"")</f>
        <v/>
      </c>
      <c r="E199" s="192" t="str">
        <f ca="1">IF(Ruimtestaat!E199&gt;0,Schoonmaaknormen!BU199*calculatietarief,"")</f>
        <v/>
      </c>
      <c r="F199" s="192" t="str">
        <f ca="1">IF(Ruimtestaat!F199&gt;0,Schoonmaaknormen!BV199*calculatietarief,"")</f>
        <v/>
      </c>
      <c r="G199" s="192" t="str">
        <f ca="1">IF(Ruimtestaat!G199&gt;0,Schoonmaaknormen!BW199*calculatietarief,"")</f>
        <v/>
      </c>
      <c r="H199" s="192" t="str">
        <f ca="1">IF(Ruimtestaat!H199&gt;0,Schoonmaaknormen!BX199*calculatietarief,"")</f>
        <v/>
      </c>
      <c r="I199" s="193" t="str">
        <f ca="1">IF(Ruimtestaat!I199&gt;0,Schoonmaaknormen!BY199*calculatietarief,"")</f>
        <v/>
      </c>
      <c r="J199" s="193" t="str">
        <f ca="1">IF(Ruimtestaat!J199&gt;0,Schoonmaaknormen!BZ199*calculatietarief,"")</f>
        <v/>
      </c>
      <c r="K199" s="561"/>
      <c r="L199" s="553"/>
      <c r="M199" s="172" t="b">
        <f>IF(_xlfn.XLOOKUP(Schoonmaaknormen!BB199,Tabel2[Locatiecode],Tabel2[Type locatie],"",0)="vaccin",TRUE,FALSE)</f>
        <v>0</v>
      </c>
    </row>
    <row r="200" spans="1:13" ht="0.2" customHeight="1" x14ac:dyDescent="0.2">
      <c r="A200" s="172">
        <f ca="1">Ruimtestaat!A200</f>
        <v>2</v>
      </c>
      <c r="B200" s="579"/>
      <c r="C200" s="10">
        <v>4</v>
      </c>
      <c r="D200" s="194" t="str">
        <f ca="1">IF(Ruimtestaat!D200&gt;0,Schoonmaaknormen!BT200*calculatietarief,"")</f>
        <v/>
      </c>
      <c r="E200" s="192" t="str">
        <f ca="1">IF(Ruimtestaat!E200&gt;0,Schoonmaaknormen!BU200*calculatietarief,"")</f>
        <v/>
      </c>
      <c r="F200" s="192" t="str">
        <f ca="1">IF(Ruimtestaat!F200&gt;0,Schoonmaaknormen!BV200*calculatietarief,"")</f>
        <v/>
      </c>
      <c r="G200" s="192" t="str">
        <f ca="1">IF(Ruimtestaat!G200&gt;0,Schoonmaaknormen!BW200*calculatietarief,"")</f>
        <v/>
      </c>
      <c r="H200" s="192" t="str">
        <f ca="1">IF(Ruimtestaat!H200&gt;0,Schoonmaaknormen!BX200*calculatietarief,"")</f>
        <v/>
      </c>
      <c r="I200" s="193" t="str">
        <f ca="1">IF(Ruimtestaat!I200&gt;0,Schoonmaaknormen!BY200*calculatietarief,"")</f>
        <v/>
      </c>
      <c r="J200" s="193" t="str">
        <f ca="1">IF(Ruimtestaat!J200&gt;0,Schoonmaaknormen!BZ200*calculatietarief,"")</f>
        <v/>
      </c>
      <c r="K200" s="562" t="str">
        <f>IF(Ruimtestaat!K200&gt;0,Schoonmaaknormen!CA200*calculatietarief,"")</f>
        <v/>
      </c>
      <c r="L200" s="554"/>
      <c r="M200" s="172" t="b">
        <f>IF(_xlfn.XLOOKUP(Schoonmaaknormen!BB200,Tabel2[Locatiecode],Tabel2[Type locatie],"",0)="vaccin",TRUE,FALSE)</f>
        <v>0</v>
      </c>
    </row>
    <row r="201" spans="1:13" ht="15" customHeight="1" thickBot="1" x14ac:dyDescent="0.25">
      <c r="A201" s="172">
        <f ca="1">Ruimtestaat!A201</f>
        <v>1</v>
      </c>
      <c r="B201" s="577" t="str">
        <f>Schoonmaaknormen!BB201</f>
        <v>ZSW-BGR</v>
      </c>
      <c r="C201" s="10">
        <v>255</v>
      </c>
      <c r="D201" s="190">
        <f ca="1">IF(Ruimtestaat!D201&gt;0,Schoonmaaknormen!BT201*calculatietarief,"")</f>
        <v>0</v>
      </c>
      <c r="E201" s="191" t="str">
        <f>IF(Ruimtestaat!E201&gt;0,Schoonmaaknormen!BU201*calculatietarief,"")</f>
        <v/>
      </c>
      <c r="F201" s="192">
        <f ca="1">IF(Ruimtestaat!F201&gt;0,Schoonmaaknormen!BV201*calculatietarief,"")</f>
        <v>0</v>
      </c>
      <c r="G201" s="191" t="str">
        <f ca="1">IF(Ruimtestaat!G201&gt;0,Schoonmaaknormen!BW201*calculatietarief,"")</f>
        <v/>
      </c>
      <c r="H201" s="191">
        <f ca="1">IF(Ruimtestaat!H201&gt;0,Schoonmaaknormen!BX201*calculatietarief,"")</f>
        <v>0</v>
      </c>
      <c r="I201" s="193">
        <f ca="1">IF(Ruimtestaat!I201&gt;0,Schoonmaaknormen!BY201*calculatietarief,"")</f>
        <v>0</v>
      </c>
      <c r="J201" s="193" t="str">
        <f ca="1">IF(Ruimtestaat!J201&gt;0,Schoonmaaknormen!BZ201*calculatietarief,"")</f>
        <v/>
      </c>
      <c r="K201" s="559" t="str">
        <f>IF(Schoonmaaknormen!K201&gt;0,Schoonmaaknormen!CA201*calculatietarief,"")</f>
        <v/>
      </c>
      <c r="L201" s="551">
        <f ca="1">SUM(D201:K206)</f>
        <v>0</v>
      </c>
      <c r="M201" s="172" t="b">
        <f>IF(_xlfn.XLOOKUP(Schoonmaaknormen!BB201,Tabel2[Locatiecode],Tabel2[Type locatie],"",0)="vaccin",TRUE,FALSE)</f>
        <v>0</v>
      </c>
    </row>
    <row r="202" spans="1:13" ht="0.2" customHeight="1" x14ac:dyDescent="0.2">
      <c r="A202" s="172">
        <f ca="1">Ruimtestaat!A202</f>
        <v>2</v>
      </c>
      <c r="B202" s="578"/>
      <c r="C202" s="10">
        <v>204</v>
      </c>
      <c r="D202" s="190" t="str">
        <f ca="1">IF(Ruimtestaat!D202&gt;0,Schoonmaaknormen!BT202*calculatietarief,"")</f>
        <v/>
      </c>
      <c r="E202" s="191" t="str">
        <f>IF(Ruimtestaat!E202&gt;0,Schoonmaaknormen!BU202*calculatietarief,"")</f>
        <v/>
      </c>
      <c r="F202" s="192" t="str">
        <f ca="1">IF(Ruimtestaat!F202&gt;0,Schoonmaaknormen!BV202*calculatietarief,"")</f>
        <v/>
      </c>
      <c r="G202" s="191" t="str">
        <f ca="1">IF(Ruimtestaat!G202&gt;0,Schoonmaaknormen!BW202*calculatietarief,"")</f>
        <v/>
      </c>
      <c r="H202" s="191" t="str">
        <f ca="1">IF(Ruimtestaat!H202&gt;0,Schoonmaaknormen!BX202*calculatietarief,"")</f>
        <v/>
      </c>
      <c r="I202" s="193" t="str">
        <f ca="1">IF(Ruimtestaat!I202&gt;0,Schoonmaaknormen!BY202*calculatietarief,"")</f>
        <v/>
      </c>
      <c r="J202" s="193" t="str">
        <f ca="1">IF(Ruimtestaat!J202&gt;0,Schoonmaaknormen!BZ202*calculatietarief,"")</f>
        <v/>
      </c>
      <c r="K202" s="560"/>
      <c r="L202" s="552"/>
      <c r="M202" s="172" t="b">
        <f>IF(_xlfn.XLOOKUP(Schoonmaaknormen!BB202,Tabel2[Locatiecode],Tabel2[Type locatie],"",0)="vaccin",TRUE,FALSE)</f>
        <v>0</v>
      </c>
    </row>
    <row r="203" spans="1:13" ht="0.2" customHeight="1" x14ac:dyDescent="0.2">
      <c r="A203" s="172">
        <f ca="1">Ruimtestaat!A203</f>
        <v>2</v>
      </c>
      <c r="B203" s="578"/>
      <c r="C203" s="10">
        <v>156</v>
      </c>
      <c r="D203" s="190" t="str">
        <f ca="1">IF(Ruimtestaat!D203&gt;0,Schoonmaaknormen!BT203*calculatietarief,"")</f>
        <v/>
      </c>
      <c r="E203" s="191" t="str">
        <f ca="1">IF(Ruimtestaat!E203&gt;0,Schoonmaaknormen!BU203*calculatietarief,"")</f>
        <v/>
      </c>
      <c r="F203" s="192" t="str">
        <f ca="1">IF(Ruimtestaat!F203&gt;0,Schoonmaaknormen!BV203*calculatietarief,"")</f>
        <v/>
      </c>
      <c r="G203" s="191" t="str">
        <f>IF(Ruimtestaat!G203&gt;0,Schoonmaaknormen!BW203*calculatietarief,"")</f>
        <v/>
      </c>
      <c r="H203" s="191" t="str">
        <f ca="1">IF(Ruimtestaat!H203&gt;0,Schoonmaaknormen!BX203*calculatietarief,"")</f>
        <v/>
      </c>
      <c r="I203" s="193" t="str">
        <f ca="1">IF(Ruimtestaat!I203&gt;0,Schoonmaaknormen!BY203*calculatietarief,"")</f>
        <v/>
      </c>
      <c r="J203" s="193" t="str">
        <f ca="1">IF(Ruimtestaat!J203&gt;0,Schoonmaaknormen!BZ203*calculatietarief,"")</f>
        <v/>
      </c>
      <c r="K203" s="560"/>
      <c r="L203" s="552"/>
      <c r="M203" s="172" t="b">
        <f>IF(_xlfn.XLOOKUP(Schoonmaaknormen!BB203,Tabel2[Locatiecode],Tabel2[Type locatie],"",0)="vaccin",TRUE,FALSE)</f>
        <v>0</v>
      </c>
    </row>
    <row r="204" spans="1:13" ht="0.2" customHeight="1" x14ac:dyDescent="0.2">
      <c r="A204" s="172">
        <f ca="1">Ruimtestaat!A204</f>
        <v>2</v>
      </c>
      <c r="B204" s="578"/>
      <c r="C204" s="10">
        <v>104</v>
      </c>
      <c r="D204" s="194" t="str">
        <f ca="1">IF(Ruimtestaat!D204&gt;0,Schoonmaaknormen!BT204*calculatietarief,"")</f>
        <v/>
      </c>
      <c r="E204" s="192" t="str">
        <f ca="1">IF(Ruimtestaat!E204&gt;0,Schoonmaaknormen!BU204*calculatietarief,"")</f>
        <v/>
      </c>
      <c r="F204" s="192" t="str">
        <f ca="1">IF(Ruimtestaat!F204&gt;0,Schoonmaaknormen!BV204*calculatietarief,"")</f>
        <v/>
      </c>
      <c r="G204" s="192" t="str">
        <f>IF(Ruimtestaat!G204&gt;0,Schoonmaaknormen!BW204*calculatietarief,"")</f>
        <v/>
      </c>
      <c r="H204" s="192" t="str">
        <f ca="1">IF(Ruimtestaat!H204&gt;0,Schoonmaaknormen!BX204*calculatietarief,"")</f>
        <v/>
      </c>
      <c r="I204" s="193" t="str">
        <f ca="1">IF(Ruimtestaat!I204&gt;0,Schoonmaaknormen!BY204*calculatietarief,"")</f>
        <v/>
      </c>
      <c r="J204" s="193" t="str">
        <f ca="1">IF(Ruimtestaat!J204&gt;0,Schoonmaaknormen!BZ204*calculatietarief,"")</f>
        <v/>
      </c>
      <c r="K204" s="561" t="str">
        <f>IF(Ruimtestaat!K203&gt;0,Schoonmaaknormen!CA204*calculatietarief,"")</f>
        <v/>
      </c>
      <c r="L204" s="553"/>
      <c r="M204" s="172" t="b">
        <f>IF(_xlfn.XLOOKUP(Schoonmaaknormen!BB204,Tabel2[Locatiecode],Tabel2[Type locatie],"",0)="vaccin",TRUE,FALSE)</f>
        <v>0</v>
      </c>
    </row>
    <row r="205" spans="1:13" ht="0.2" customHeight="1" x14ac:dyDescent="0.2">
      <c r="A205" s="172">
        <f ca="1">Ruimtestaat!A205</f>
        <v>0</v>
      </c>
      <c r="B205" s="578"/>
      <c r="C205" s="10">
        <v>52</v>
      </c>
      <c r="D205" s="194" t="str">
        <f ca="1">IF(Ruimtestaat!D205&gt;0,Schoonmaaknormen!BT205*calculatietarief,"")</f>
        <v/>
      </c>
      <c r="E205" s="192" t="str">
        <f ca="1">IF(Ruimtestaat!E205&gt;0,Schoonmaaknormen!BU205*calculatietarief,"")</f>
        <v/>
      </c>
      <c r="F205" s="192" t="str">
        <f ca="1">IF(Ruimtestaat!F205&gt;0,Schoonmaaknormen!BV205*calculatietarief,"")</f>
        <v/>
      </c>
      <c r="G205" s="192" t="str">
        <f ca="1">IF(Ruimtestaat!G205&gt;0,Schoonmaaknormen!BW205*calculatietarief,"")</f>
        <v/>
      </c>
      <c r="H205" s="192" t="str">
        <f ca="1">IF(Ruimtestaat!H205&gt;0,Schoonmaaknormen!BX205*calculatietarief,"")</f>
        <v/>
      </c>
      <c r="I205" s="193" t="str">
        <f ca="1">IF(Ruimtestaat!I205&gt;0,Schoonmaaknormen!BY205*calculatietarief,"")</f>
        <v/>
      </c>
      <c r="J205" s="193" t="str">
        <f ca="1">IF(Ruimtestaat!J205&gt;0,Schoonmaaknormen!BZ205*calculatietarief,"")</f>
        <v/>
      </c>
      <c r="K205" s="561"/>
      <c r="L205" s="553"/>
      <c r="M205" s="172" t="b">
        <f>IF(_xlfn.XLOOKUP(Schoonmaaknormen!BB205,Tabel2[Locatiecode],Tabel2[Type locatie],"",0)="vaccin",TRUE,FALSE)</f>
        <v>0</v>
      </c>
    </row>
    <row r="206" spans="1:13" ht="0.2" customHeight="1" x14ac:dyDescent="0.2">
      <c r="A206" s="172">
        <f ca="1">Ruimtestaat!A206</f>
        <v>2</v>
      </c>
      <c r="B206" s="579"/>
      <c r="C206" s="10">
        <v>4</v>
      </c>
      <c r="D206" s="194" t="str">
        <f ca="1">IF(Ruimtestaat!D206&gt;0,Schoonmaaknormen!BT206*calculatietarief,"")</f>
        <v/>
      </c>
      <c r="E206" s="192" t="str">
        <f ca="1">IF(Ruimtestaat!E206&gt;0,Schoonmaaknormen!BU206*calculatietarief,"")</f>
        <v/>
      </c>
      <c r="F206" s="192" t="str">
        <f ca="1">IF(Ruimtestaat!F206&gt;0,Schoonmaaknormen!BV206*calculatietarief,"")</f>
        <v/>
      </c>
      <c r="G206" s="192" t="str">
        <f ca="1">IF(Ruimtestaat!G206&gt;0,Schoonmaaknormen!BW206*calculatietarief,"")</f>
        <v/>
      </c>
      <c r="H206" s="192" t="str">
        <f ca="1">IF(Ruimtestaat!H206&gt;0,Schoonmaaknormen!BX206*calculatietarief,"")</f>
        <v/>
      </c>
      <c r="I206" s="193" t="str">
        <f ca="1">IF(Ruimtestaat!I206&gt;0,Schoonmaaknormen!BY206*calculatietarief,"")</f>
        <v/>
      </c>
      <c r="J206" s="193" t="str">
        <f ca="1">IF(Ruimtestaat!J206&gt;0,Schoonmaaknormen!BZ206*calculatietarief,"")</f>
        <v/>
      </c>
      <c r="K206" s="562" t="str">
        <f>IF(Ruimtestaat!K206&gt;0,Schoonmaaknormen!CA206*calculatietarief,"")</f>
        <v/>
      </c>
      <c r="L206" s="554"/>
      <c r="M206" s="172" t="b">
        <f>IF(_xlfn.XLOOKUP(Schoonmaaknormen!BB206,Tabel2[Locatiecode],Tabel2[Type locatie],"",0)="vaccin",TRUE,FALSE)</f>
        <v>0</v>
      </c>
    </row>
    <row r="207" spans="1:13" ht="0.2" customHeight="1" x14ac:dyDescent="0.2">
      <c r="A207" s="172">
        <f ca="1">Ruimtestaat!A207</f>
        <v>2</v>
      </c>
      <c r="B207" s="577" t="str">
        <f>Schoonmaaknormen!BB207</f>
        <v/>
      </c>
      <c r="C207" s="10">
        <v>255</v>
      </c>
      <c r="D207" s="190" t="str">
        <f ca="1">IF(Ruimtestaat!D207&gt;0,Schoonmaaknormen!BT207*calculatietarief,"")</f>
        <v/>
      </c>
      <c r="E207" s="191" t="str">
        <f ca="1">IF(Ruimtestaat!E207&gt;0,Schoonmaaknormen!BU207*calculatietarief,"")</f>
        <v/>
      </c>
      <c r="F207" s="192" t="str">
        <f ca="1">IF(Ruimtestaat!F207&gt;0,Schoonmaaknormen!BV207*calculatietarief,"")</f>
        <v/>
      </c>
      <c r="G207" s="191" t="str">
        <f ca="1">IF(Ruimtestaat!G207&gt;0,Schoonmaaknormen!BW207*calculatietarief,"")</f>
        <v/>
      </c>
      <c r="H207" s="191" t="str">
        <f ca="1">IF(Ruimtestaat!H207&gt;0,Schoonmaaknormen!BX207*calculatietarief,"")</f>
        <v/>
      </c>
      <c r="I207" s="193" t="str">
        <f ca="1">IF(Ruimtestaat!I207&gt;0,Schoonmaaknormen!BY207*calculatietarief,"")</f>
        <v/>
      </c>
      <c r="J207" s="193" t="str">
        <f>IF(Ruimtestaat!J207&gt;0,Schoonmaaknormen!BZ207*calculatietarief,"")</f>
        <v/>
      </c>
      <c r="K207" s="559" t="str">
        <f>IF(Schoonmaaknormen!K207&gt;0,Schoonmaaknormen!CA207*calculatietarief,"")</f>
        <v/>
      </c>
      <c r="L207" s="551">
        <f ca="1">SUM(D207:K212)</f>
        <v>0</v>
      </c>
      <c r="M207" s="172" t="b">
        <f>IF(_xlfn.XLOOKUP(Schoonmaaknormen!BB207,Tabel2[Locatiecode],Tabel2[Type locatie],"",0)="vaccin",TRUE,FALSE)</f>
        <v>0</v>
      </c>
    </row>
    <row r="208" spans="1:13" ht="0.2" customHeight="1" x14ac:dyDescent="0.2">
      <c r="A208" s="172">
        <f ca="1">Ruimtestaat!A208</f>
        <v>2</v>
      </c>
      <c r="B208" s="578"/>
      <c r="C208" s="10">
        <v>204</v>
      </c>
      <c r="D208" s="190" t="str">
        <f ca="1">IF(Ruimtestaat!D208&gt;0,Schoonmaaknormen!BT208*calculatietarief,"")</f>
        <v/>
      </c>
      <c r="E208" s="191" t="str">
        <f>IF(Ruimtestaat!E208&gt;0,Schoonmaaknormen!BU208*calculatietarief,"")</f>
        <v/>
      </c>
      <c r="F208" s="192" t="str">
        <f ca="1">IF(Ruimtestaat!F208&gt;0,Schoonmaaknormen!BV208*calculatietarief,"")</f>
        <v/>
      </c>
      <c r="G208" s="191" t="str">
        <f ca="1">IF(Ruimtestaat!G208&gt;0,Schoonmaaknormen!BW208*calculatietarief,"")</f>
        <v/>
      </c>
      <c r="H208" s="191" t="str">
        <f ca="1">IF(Ruimtestaat!H208&gt;0,Schoonmaaknormen!BX208*calculatietarief,"")</f>
        <v/>
      </c>
      <c r="I208" s="193" t="str">
        <f ca="1">IF(Ruimtestaat!I208&gt;0,Schoonmaaknormen!BY208*calculatietarief,"")</f>
        <v/>
      </c>
      <c r="J208" s="193" t="str">
        <f ca="1">IF(Ruimtestaat!J208&gt;0,Schoonmaaknormen!BZ208*calculatietarief,"")</f>
        <v/>
      </c>
      <c r="K208" s="560"/>
      <c r="L208" s="552"/>
      <c r="M208" s="172" t="b">
        <f>IF(_xlfn.XLOOKUP(Schoonmaaknormen!BB208,Tabel2[Locatiecode],Tabel2[Type locatie],"",0)="vaccin",TRUE,FALSE)</f>
        <v>0</v>
      </c>
    </row>
    <row r="209" spans="1:13" ht="0.2" customHeight="1" x14ac:dyDescent="0.2">
      <c r="A209" s="172">
        <f ca="1">Ruimtestaat!A209</f>
        <v>2</v>
      </c>
      <c r="B209" s="578"/>
      <c r="C209" s="10">
        <v>156</v>
      </c>
      <c r="D209" s="190" t="str">
        <f ca="1">IF(Ruimtestaat!D209&gt;0,Schoonmaaknormen!BT209*calculatietarief,"")</f>
        <v/>
      </c>
      <c r="E209" s="191" t="str">
        <f>IF(Ruimtestaat!E209&gt;0,Schoonmaaknormen!BU209*calculatietarief,"")</f>
        <v/>
      </c>
      <c r="F209" s="192" t="str">
        <f>IF(Ruimtestaat!F209&gt;0,Schoonmaaknormen!BV209*calculatietarief,"")</f>
        <v/>
      </c>
      <c r="G209" s="191" t="str">
        <f ca="1">IF(Ruimtestaat!G209&gt;0,Schoonmaaknormen!BW209*calculatietarief,"")</f>
        <v/>
      </c>
      <c r="H209" s="191" t="str">
        <f ca="1">IF(Ruimtestaat!H209&gt;0,Schoonmaaknormen!BX209*calculatietarief,"")</f>
        <v/>
      </c>
      <c r="I209" s="193" t="str">
        <f ca="1">IF(Ruimtestaat!I209&gt;0,Schoonmaaknormen!BY209*calculatietarief,"")</f>
        <v/>
      </c>
      <c r="J209" s="193" t="str">
        <f ca="1">IF(Ruimtestaat!J209&gt;0,Schoonmaaknormen!BZ209*calculatietarief,"")</f>
        <v/>
      </c>
      <c r="K209" s="560"/>
      <c r="L209" s="552"/>
      <c r="M209" s="172" t="b">
        <f>IF(_xlfn.XLOOKUP(Schoonmaaknormen!BB209,Tabel2[Locatiecode],Tabel2[Type locatie],"",0)="vaccin",TRUE,FALSE)</f>
        <v>0</v>
      </c>
    </row>
    <row r="210" spans="1:13" ht="0.2" customHeight="1" x14ac:dyDescent="0.2">
      <c r="A210" s="172">
        <f ca="1">Ruimtestaat!A210</f>
        <v>2</v>
      </c>
      <c r="B210" s="578"/>
      <c r="C210" s="10">
        <v>104</v>
      </c>
      <c r="D210" s="194" t="str">
        <f ca="1">IF(Ruimtestaat!D210&gt;0,Schoonmaaknormen!BT210*calculatietarief,"")</f>
        <v/>
      </c>
      <c r="E210" s="192" t="str">
        <f>IF(Ruimtestaat!E210&gt;0,Schoonmaaknormen!BU210*calculatietarief,"")</f>
        <v/>
      </c>
      <c r="F210" s="192" t="str">
        <f>IF(Ruimtestaat!F210&gt;0,Schoonmaaknormen!BV210*calculatietarief,"")</f>
        <v/>
      </c>
      <c r="G210" s="192" t="str">
        <f>IF(Ruimtestaat!G210&gt;0,Schoonmaaknormen!BW210*calculatietarief,"")</f>
        <v/>
      </c>
      <c r="H210" s="192" t="str">
        <f>IF(Ruimtestaat!H210&gt;0,Schoonmaaknormen!BX210*calculatietarief,"")</f>
        <v/>
      </c>
      <c r="I210" s="193" t="str">
        <f ca="1">IF(Ruimtestaat!I210&gt;0,Schoonmaaknormen!BY210*calculatietarief,"")</f>
        <v/>
      </c>
      <c r="J210" s="193" t="str">
        <f ca="1">IF(Ruimtestaat!J210&gt;0,Schoonmaaknormen!BZ210*calculatietarief,"")</f>
        <v/>
      </c>
      <c r="K210" s="561" t="str">
        <f>IF(Ruimtestaat!K209&gt;0,Schoonmaaknormen!CA210*calculatietarief,"")</f>
        <v/>
      </c>
      <c r="L210" s="553"/>
      <c r="M210" s="172" t="b">
        <f>IF(_xlfn.XLOOKUP(Schoonmaaknormen!BB210,Tabel2[Locatiecode],Tabel2[Type locatie],"",0)="vaccin",TRUE,FALSE)</f>
        <v>0</v>
      </c>
    </row>
    <row r="211" spans="1:13" ht="0.2" customHeight="1" x14ac:dyDescent="0.2">
      <c r="A211" s="172">
        <f ca="1">Ruimtestaat!A211</f>
        <v>2</v>
      </c>
      <c r="B211" s="578"/>
      <c r="C211" s="10">
        <v>52</v>
      </c>
      <c r="D211" s="194" t="str">
        <f ca="1">IF(Ruimtestaat!D211&gt;0,Schoonmaaknormen!BT211*calculatietarief,"")</f>
        <v/>
      </c>
      <c r="E211" s="192" t="str">
        <f ca="1">IF(Ruimtestaat!E211&gt;0,Schoonmaaknormen!BU211*calculatietarief,"")</f>
        <v/>
      </c>
      <c r="F211" s="192" t="str">
        <f>IF(Ruimtestaat!F211&gt;0,Schoonmaaknormen!BV211*calculatietarief,"")</f>
        <v/>
      </c>
      <c r="G211" s="192" t="str">
        <f>IF(Ruimtestaat!G211&gt;0,Schoonmaaknormen!BW211*calculatietarief,"")</f>
        <v/>
      </c>
      <c r="H211" s="192" t="str">
        <f>IF(Ruimtestaat!H211&gt;0,Schoonmaaknormen!BX211*calculatietarief,"")</f>
        <v/>
      </c>
      <c r="I211" s="193" t="str">
        <f ca="1">IF(Ruimtestaat!I211&gt;0,Schoonmaaknormen!BY211*calculatietarief,"")</f>
        <v/>
      </c>
      <c r="J211" s="193" t="str">
        <f ca="1">IF(Ruimtestaat!J211&gt;0,Schoonmaaknormen!BZ211*calculatietarief,"")</f>
        <v/>
      </c>
      <c r="K211" s="561"/>
      <c r="L211" s="553"/>
      <c r="M211" s="172" t="b">
        <f>IF(_xlfn.XLOOKUP(Schoonmaaknormen!BB211,Tabel2[Locatiecode],Tabel2[Type locatie],"",0)="vaccin",TRUE,FALSE)</f>
        <v>0</v>
      </c>
    </row>
    <row r="212" spans="1:13" ht="0.2" customHeight="1" x14ac:dyDescent="0.2">
      <c r="A212" s="172">
        <f ca="1">Ruimtestaat!A212</f>
        <v>2</v>
      </c>
      <c r="B212" s="579"/>
      <c r="C212" s="10">
        <v>4</v>
      </c>
      <c r="D212" s="194" t="str">
        <f ca="1">IF(Ruimtestaat!D212&gt;0,Schoonmaaknormen!BT212*calculatietarief,"")</f>
        <v/>
      </c>
      <c r="E212" s="192" t="str">
        <f ca="1">IF(Ruimtestaat!E212&gt;0,Schoonmaaknormen!BU212*calculatietarief,"")</f>
        <v/>
      </c>
      <c r="F212" s="192" t="str">
        <f ca="1">IF(Ruimtestaat!F212&gt;0,Schoonmaaknormen!BV212*calculatietarief,"")</f>
        <v/>
      </c>
      <c r="G212" s="192" t="str">
        <f>IF(Ruimtestaat!G212&gt;0,Schoonmaaknormen!BW212*calculatietarief,"")</f>
        <v/>
      </c>
      <c r="H212" s="192" t="str">
        <f>IF(Ruimtestaat!H212&gt;0,Schoonmaaknormen!BX212*calculatietarief,"")</f>
        <v/>
      </c>
      <c r="I212" s="193" t="str">
        <f ca="1">IF(Ruimtestaat!I212&gt;0,Schoonmaaknormen!BY212*calculatietarief,"")</f>
        <v/>
      </c>
      <c r="J212" s="193" t="str">
        <f ca="1">IF(Ruimtestaat!J212&gt;0,Schoonmaaknormen!BZ212*calculatietarief,"")</f>
        <v/>
      </c>
      <c r="K212" s="562" t="str">
        <f>IF(Ruimtestaat!K212&gt;0,Schoonmaaknormen!CA212*calculatietarief,"")</f>
        <v/>
      </c>
      <c r="L212" s="554"/>
      <c r="M212" s="172" t="b">
        <f>IF(_xlfn.XLOOKUP(Schoonmaaknormen!BB212,Tabel2[Locatiecode],Tabel2[Type locatie],"",0)="vaccin",TRUE,FALSE)</f>
        <v>0</v>
      </c>
    </row>
    <row r="213" spans="1:13" ht="0.2" customHeight="1" x14ac:dyDescent="0.2">
      <c r="A213" s="172">
        <f ca="1">Ruimtestaat!A213</f>
        <v>2</v>
      </c>
      <c r="B213" s="577" t="str">
        <f>Schoonmaaknormen!BB213</f>
        <v/>
      </c>
      <c r="C213" s="10">
        <v>255</v>
      </c>
      <c r="D213" s="190" t="str">
        <f ca="1">IF(Ruimtestaat!D213&gt;0,Schoonmaaknormen!BT213*calculatietarief,"")</f>
        <v/>
      </c>
      <c r="E213" s="191" t="str">
        <f ca="1">IF(Ruimtestaat!E213&gt;0,Schoonmaaknormen!BU213*calculatietarief,"")</f>
        <v/>
      </c>
      <c r="F213" s="192" t="str">
        <f ca="1">IF(Ruimtestaat!F213&gt;0,Schoonmaaknormen!BV213*calculatietarief,"")</f>
        <v/>
      </c>
      <c r="G213" s="191" t="str">
        <f ca="1">IF(Ruimtestaat!G213&gt;0,Schoonmaaknormen!BW213*calculatietarief,"")</f>
        <v/>
      </c>
      <c r="H213" s="191" t="str">
        <f>IF(Ruimtestaat!H213&gt;0,Schoonmaaknormen!BX213*calculatietarief,"")</f>
        <v/>
      </c>
      <c r="I213" s="193" t="str">
        <f>IF(Ruimtestaat!I213&gt;0,Schoonmaaknormen!BY213*calculatietarief,"")</f>
        <v/>
      </c>
      <c r="J213" s="193" t="str">
        <f>IF(Ruimtestaat!J213&gt;0,Schoonmaaknormen!BZ213*calculatietarief,"")</f>
        <v/>
      </c>
      <c r="K213" s="559" t="str">
        <f>IF(Schoonmaaknormen!K213&gt;0,Schoonmaaknormen!CA213*calculatietarief,"")</f>
        <v/>
      </c>
      <c r="L213" s="551">
        <f ca="1">SUM(D213:K218)</f>
        <v>0</v>
      </c>
      <c r="M213" s="172" t="b">
        <f>IF(_xlfn.XLOOKUP(Schoonmaaknormen!BB213,Tabel2[Locatiecode],Tabel2[Type locatie],"",0)="vaccin",TRUE,FALSE)</f>
        <v>0</v>
      </c>
    </row>
    <row r="214" spans="1:13" ht="0.2" customHeight="1" x14ac:dyDescent="0.2">
      <c r="A214" s="172">
        <f ca="1">Ruimtestaat!A214</f>
        <v>2</v>
      </c>
      <c r="B214" s="578"/>
      <c r="C214" s="10">
        <v>204</v>
      </c>
      <c r="D214" s="190" t="str">
        <f ca="1">IF(Ruimtestaat!D214&gt;0,Schoonmaaknormen!BT214*calculatietarief,"")</f>
        <v/>
      </c>
      <c r="E214" s="191" t="str">
        <f ca="1">IF(Ruimtestaat!E214&gt;0,Schoonmaaknormen!BU214*calculatietarief,"")</f>
        <v/>
      </c>
      <c r="F214" s="192" t="str">
        <f ca="1">IF(Ruimtestaat!F214&gt;0,Schoonmaaknormen!BV214*calculatietarief,"")</f>
        <v/>
      </c>
      <c r="G214" s="191" t="str">
        <f ca="1">IF(Ruimtestaat!G214&gt;0,Schoonmaaknormen!BW214*calculatietarief,"")</f>
        <v/>
      </c>
      <c r="H214" s="191" t="str">
        <f ca="1">IF(Ruimtestaat!H214&gt;0,Schoonmaaknormen!BX214*calculatietarief,"")</f>
        <v/>
      </c>
      <c r="I214" s="193" t="str">
        <f>IF(Ruimtestaat!I214&gt;0,Schoonmaaknormen!BY214*calculatietarief,"")</f>
        <v/>
      </c>
      <c r="J214" s="193" t="str">
        <f>IF(Ruimtestaat!J214&gt;0,Schoonmaaknormen!BZ214*calculatietarief,"")</f>
        <v/>
      </c>
      <c r="K214" s="560"/>
      <c r="L214" s="552"/>
      <c r="M214" s="172" t="b">
        <f>IF(_xlfn.XLOOKUP(Schoonmaaknormen!BB214,Tabel2[Locatiecode],Tabel2[Type locatie],"",0)="vaccin",TRUE,FALSE)</f>
        <v>0</v>
      </c>
    </row>
    <row r="215" spans="1:13" ht="0.2" customHeight="1" x14ac:dyDescent="0.2">
      <c r="A215" s="172">
        <f ca="1">Ruimtestaat!A215</f>
        <v>2</v>
      </c>
      <c r="B215" s="578"/>
      <c r="C215" s="10">
        <v>156</v>
      </c>
      <c r="D215" s="190" t="str">
        <f ca="1">IF(Ruimtestaat!D215&gt;0,Schoonmaaknormen!BT215*calculatietarief,"")</f>
        <v/>
      </c>
      <c r="E215" s="191" t="str">
        <f ca="1">IF(Ruimtestaat!E215&gt;0,Schoonmaaknormen!BU215*calculatietarief,"")</f>
        <v/>
      </c>
      <c r="F215" s="192" t="str">
        <f ca="1">IF(Ruimtestaat!F215&gt;0,Schoonmaaknormen!BV215*calculatietarief,"")</f>
        <v/>
      </c>
      <c r="G215" s="191" t="str">
        <f ca="1">IF(Ruimtestaat!G215&gt;0,Schoonmaaknormen!BW215*calculatietarief,"")</f>
        <v/>
      </c>
      <c r="H215" s="191" t="str">
        <f ca="1">IF(Ruimtestaat!H215&gt;0,Schoonmaaknormen!BX215*calculatietarief,"")</f>
        <v/>
      </c>
      <c r="I215" s="193" t="str">
        <f ca="1">IF(Ruimtestaat!I215&gt;0,Schoonmaaknormen!BY215*calculatietarief,"")</f>
        <v/>
      </c>
      <c r="J215" s="193" t="str">
        <f>IF(Ruimtestaat!J215&gt;0,Schoonmaaknormen!BZ215*calculatietarief,"")</f>
        <v/>
      </c>
      <c r="K215" s="560"/>
      <c r="L215" s="552"/>
      <c r="M215" s="172" t="b">
        <f>IF(_xlfn.XLOOKUP(Schoonmaaknormen!BB215,Tabel2[Locatiecode],Tabel2[Type locatie],"",0)="vaccin",TRUE,FALSE)</f>
        <v>0</v>
      </c>
    </row>
    <row r="216" spans="1:13" ht="0.2" customHeight="1" x14ac:dyDescent="0.2">
      <c r="A216" s="172">
        <f ca="1">Ruimtestaat!A216</f>
        <v>2</v>
      </c>
      <c r="B216" s="578"/>
      <c r="C216" s="10">
        <v>104</v>
      </c>
      <c r="D216" s="194" t="str">
        <f ca="1">IF(Ruimtestaat!D216&gt;0,Schoonmaaknormen!BT216*calculatietarief,"")</f>
        <v/>
      </c>
      <c r="E216" s="192" t="str">
        <f>IF(Ruimtestaat!E216&gt;0,Schoonmaaknormen!BU216*calculatietarief,"")</f>
        <v/>
      </c>
      <c r="F216" s="192" t="str">
        <f>IF(Ruimtestaat!F216&gt;0,Schoonmaaknormen!BV216*calculatietarief,"")</f>
        <v/>
      </c>
      <c r="G216" s="192" t="str">
        <f ca="1">IF(Ruimtestaat!G216&gt;0,Schoonmaaknormen!BW216*calculatietarief,"")</f>
        <v/>
      </c>
      <c r="H216" s="192" t="str">
        <f ca="1">IF(Ruimtestaat!H216&gt;0,Schoonmaaknormen!BX216*calculatietarief,"")</f>
        <v/>
      </c>
      <c r="I216" s="193" t="str">
        <f ca="1">IF(Ruimtestaat!I216&gt;0,Schoonmaaknormen!BY216*calculatietarief,"")</f>
        <v/>
      </c>
      <c r="J216" s="193" t="str">
        <f ca="1">IF(Ruimtestaat!J216&gt;0,Schoonmaaknormen!BZ216*calculatietarief,"")</f>
        <v/>
      </c>
      <c r="K216" s="561" t="str">
        <f>IF(Ruimtestaat!K215&gt;0,Schoonmaaknormen!CA216*calculatietarief,"")</f>
        <v/>
      </c>
      <c r="L216" s="553"/>
      <c r="M216" s="172" t="b">
        <f>IF(_xlfn.XLOOKUP(Schoonmaaknormen!BB216,Tabel2[Locatiecode],Tabel2[Type locatie],"",0)="vaccin",TRUE,FALSE)</f>
        <v>0</v>
      </c>
    </row>
    <row r="217" spans="1:13" ht="0.2" customHeight="1" x14ac:dyDescent="0.2">
      <c r="A217" s="172">
        <f ca="1">Ruimtestaat!A217</f>
        <v>2</v>
      </c>
      <c r="B217" s="578"/>
      <c r="C217" s="10">
        <v>52</v>
      </c>
      <c r="D217" s="194" t="str">
        <f ca="1">IF(Ruimtestaat!D217&gt;0,Schoonmaaknormen!BT217*calculatietarief,"")</f>
        <v/>
      </c>
      <c r="E217" s="192" t="str">
        <f>IF(Ruimtestaat!E217&gt;0,Schoonmaaknormen!BU217*calculatietarief,"")</f>
        <v/>
      </c>
      <c r="F217" s="192" t="str">
        <f>IF(Ruimtestaat!F217&gt;0,Schoonmaaknormen!BV217*calculatietarief,"")</f>
        <v/>
      </c>
      <c r="G217" s="192" t="str">
        <f ca="1">IF(Ruimtestaat!G217&gt;0,Schoonmaaknormen!BW217*calculatietarief,"")</f>
        <v/>
      </c>
      <c r="H217" s="192" t="str">
        <f ca="1">IF(Ruimtestaat!H217&gt;0,Schoonmaaknormen!BX217*calculatietarief,"")</f>
        <v/>
      </c>
      <c r="I217" s="193" t="str">
        <f ca="1">IF(Ruimtestaat!I217&gt;0,Schoonmaaknormen!BY217*calculatietarief,"")</f>
        <v/>
      </c>
      <c r="J217" s="193" t="str">
        <f ca="1">IF(Ruimtestaat!J217&gt;0,Schoonmaaknormen!BZ217*calculatietarief,"")</f>
        <v/>
      </c>
      <c r="K217" s="561"/>
      <c r="L217" s="553"/>
      <c r="M217" s="172" t="b">
        <f>IF(_xlfn.XLOOKUP(Schoonmaaknormen!BB217,Tabel2[Locatiecode],Tabel2[Type locatie],"",0)="vaccin",TRUE,FALSE)</f>
        <v>0</v>
      </c>
    </row>
    <row r="218" spans="1:13" ht="0.2" customHeight="1" x14ac:dyDescent="0.2">
      <c r="A218" s="172">
        <f ca="1">Ruimtestaat!A218</f>
        <v>2</v>
      </c>
      <c r="B218" s="579"/>
      <c r="C218" s="10">
        <v>4</v>
      </c>
      <c r="D218" s="194" t="str">
        <f ca="1">IF(Ruimtestaat!D218&gt;0,Schoonmaaknormen!BT218*calculatietarief,"")</f>
        <v/>
      </c>
      <c r="E218" s="192" t="str">
        <f>IF(Ruimtestaat!E218&gt;0,Schoonmaaknormen!BU218*calculatietarief,"")</f>
        <v/>
      </c>
      <c r="F218" s="192" t="str">
        <f>IF(Ruimtestaat!F218&gt;0,Schoonmaaknormen!BV218*calculatietarief,"")</f>
        <v/>
      </c>
      <c r="G218" s="192" t="str">
        <f ca="1">IF(Ruimtestaat!G218&gt;0,Schoonmaaknormen!BW218*calculatietarief,"")</f>
        <v/>
      </c>
      <c r="H218" s="192" t="str">
        <f ca="1">IF(Ruimtestaat!H218&gt;0,Schoonmaaknormen!BX218*calculatietarief,"")</f>
        <v/>
      </c>
      <c r="I218" s="193" t="str">
        <f ca="1">IF(Ruimtestaat!I218&gt;0,Schoonmaaknormen!BY218*calculatietarief,"")</f>
        <v/>
      </c>
      <c r="J218" s="193" t="str">
        <f ca="1">IF(Ruimtestaat!J218&gt;0,Schoonmaaknormen!BZ218*calculatietarief,"")</f>
        <v/>
      </c>
      <c r="K218" s="562" t="str">
        <f>IF(Ruimtestaat!K218&gt;0,Schoonmaaknormen!CA218*calculatietarief,"")</f>
        <v/>
      </c>
      <c r="L218" s="554"/>
      <c r="M218" s="172" t="b">
        <f>IF(_xlfn.XLOOKUP(Schoonmaaknormen!BB218,Tabel2[Locatiecode],Tabel2[Type locatie],"",0)="vaccin",TRUE,FALSE)</f>
        <v>0</v>
      </c>
    </row>
    <row r="219" spans="1:13" ht="0.2" customHeight="1" x14ac:dyDescent="0.2">
      <c r="A219" s="172">
        <f ca="1">Ruimtestaat!A219</f>
        <v>2</v>
      </c>
      <c r="B219" s="577" t="str">
        <f>Schoonmaaknormen!BB219</f>
        <v/>
      </c>
      <c r="C219" s="10">
        <v>255</v>
      </c>
      <c r="D219" s="190" t="str">
        <f ca="1">IF(Ruimtestaat!D219&gt;0,Schoonmaaknormen!BT219*calculatietarief,"")</f>
        <v/>
      </c>
      <c r="E219" s="191" t="str">
        <f ca="1">IF(Ruimtestaat!E219&gt;0,Schoonmaaknormen!BU219*calculatietarief,"")</f>
        <v/>
      </c>
      <c r="F219" s="192" t="str">
        <f>IF(Ruimtestaat!F219&gt;0,Schoonmaaknormen!BV219*calculatietarief,"")</f>
        <v/>
      </c>
      <c r="G219" s="191" t="str">
        <f>IF(Ruimtestaat!G219&gt;0,Schoonmaaknormen!BW219*calculatietarief,"")</f>
        <v/>
      </c>
      <c r="H219" s="191" t="str">
        <f>IF(Ruimtestaat!H219&gt;0,Schoonmaaknormen!BX219*calculatietarief,"")</f>
        <v/>
      </c>
      <c r="I219" s="193" t="str">
        <f ca="1">IF(Ruimtestaat!I219&gt;0,Schoonmaaknormen!BY219*calculatietarief,"")</f>
        <v/>
      </c>
      <c r="J219" s="193" t="str">
        <f ca="1">IF(Ruimtestaat!J219&gt;0,Schoonmaaknormen!BZ219*calculatietarief,"")</f>
        <v/>
      </c>
      <c r="K219" s="559" t="str">
        <f>IF(Schoonmaaknormen!K219&gt;0,Schoonmaaknormen!CA219*calculatietarief,"")</f>
        <v/>
      </c>
      <c r="L219" s="551">
        <f ca="1">SUM(D219:K224)</f>
        <v>0</v>
      </c>
      <c r="M219" s="172" t="b">
        <f>IF(_xlfn.XLOOKUP(Schoonmaaknormen!BB219,Tabel2[Locatiecode],Tabel2[Type locatie],"",0)="vaccin",TRUE,FALSE)</f>
        <v>0</v>
      </c>
    </row>
    <row r="220" spans="1:13" ht="0.2" customHeight="1" x14ac:dyDescent="0.2">
      <c r="A220" s="172">
        <f ca="1">Ruimtestaat!A220</f>
        <v>2</v>
      </c>
      <c r="B220" s="578"/>
      <c r="C220" s="10">
        <v>204</v>
      </c>
      <c r="D220" s="190" t="str">
        <f ca="1">IF(Ruimtestaat!D220&gt;0,Schoonmaaknormen!BT220*calculatietarief,"")</f>
        <v/>
      </c>
      <c r="E220" s="191" t="str">
        <f ca="1">IF(Ruimtestaat!E220&gt;0,Schoonmaaknormen!BU220*calculatietarief,"")</f>
        <v/>
      </c>
      <c r="F220" s="192" t="str">
        <f ca="1">IF(Ruimtestaat!F220&gt;0,Schoonmaaknormen!BV220*calculatietarief,"")</f>
        <v/>
      </c>
      <c r="G220" s="191" t="str">
        <f>IF(Ruimtestaat!G220&gt;0,Schoonmaaknormen!BW220*calculatietarief,"")</f>
        <v/>
      </c>
      <c r="H220" s="191" t="str">
        <f>IF(Ruimtestaat!H220&gt;0,Schoonmaaknormen!BX220*calculatietarief,"")</f>
        <v/>
      </c>
      <c r="I220" s="193" t="str">
        <f>IF(Ruimtestaat!I220&gt;0,Schoonmaaknormen!BY220*calculatietarief,"")</f>
        <v/>
      </c>
      <c r="J220" s="193" t="str">
        <f ca="1">IF(Ruimtestaat!J220&gt;0,Schoonmaaknormen!BZ220*calculatietarief,"")</f>
        <v/>
      </c>
      <c r="K220" s="560"/>
      <c r="L220" s="552"/>
      <c r="M220" s="172" t="b">
        <f>IF(_xlfn.XLOOKUP(Schoonmaaknormen!BB220,Tabel2[Locatiecode],Tabel2[Type locatie],"",0)="vaccin",TRUE,FALSE)</f>
        <v>0</v>
      </c>
    </row>
    <row r="221" spans="1:13" ht="0.2" customHeight="1" x14ac:dyDescent="0.2">
      <c r="A221" s="172">
        <f ca="1">Ruimtestaat!A221</f>
        <v>2</v>
      </c>
      <c r="B221" s="578"/>
      <c r="C221" s="10">
        <v>156</v>
      </c>
      <c r="D221" s="190" t="str">
        <f ca="1">IF(Ruimtestaat!D221&gt;0,Schoonmaaknormen!BT221*calculatietarief,"")</f>
        <v/>
      </c>
      <c r="E221" s="191" t="str">
        <f ca="1">IF(Ruimtestaat!E221&gt;0,Schoonmaaknormen!BU221*calculatietarief,"")</f>
        <v/>
      </c>
      <c r="F221" s="192" t="str">
        <f ca="1">IF(Ruimtestaat!F221&gt;0,Schoonmaaknormen!BV221*calculatietarief,"")</f>
        <v/>
      </c>
      <c r="G221" s="191" t="str">
        <f ca="1">IF(Ruimtestaat!G221&gt;0,Schoonmaaknormen!BW221*calculatietarief,"")</f>
        <v/>
      </c>
      <c r="H221" s="191" t="str">
        <f>IF(Ruimtestaat!H221&gt;0,Schoonmaaknormen!BX221*calculatietarief,"")</f>
        <v/>
      </c>
      <c r="I221" s="193" t="str">
        <f>IF(Ruimtestaat!I221&gt;0,Schoonmaaknormen!BY221*calculatietarief,"")</f>
        <v/>
      </c>
      <c r="J221" s="193" t="str">
        <f>IF(Ruimtestaat!J221&gt;0,Schoonmaaknormen!BZ221*calculatietarief,"")</f>
        <v/>
      </c>
      <c r="K221" s="560"/>
      <c r="L221" s="552"/>
      <c r="M221" s="172" t="b">
        <f>IF(_xlfn.XLOOKUP(Schoonmaaknormen!BB221,Tabel2[Locatiecode],Tabel2[Type locatie],"",0)="vaccin",TRUE,FALSE)</f>
        <v>0</v>
      </c>
    </row>
    <row r="222" spans="1:13" ht="0.2" customHeight="1" x14ac:dyDescent="0.2">
      <c r="A222" s="172">
        <f ca="1">Ruimtestaat!A222</f>
        <v>2</v>
      </c>
      <c r="B222" s="578"/>
      <c r="C222" s="10">
        <v>104</v>
      </c>
      <c r="D222" s="194" t="str">
        <f ca="1">IF(Ruimtestaat!D222&gt;0,Schoonmaaknormen!BT222*calculatietarief,"")</f>
        <v/>
      </c>
      <c r="E222" s="192" t="str">
        <f ca="1">IF(Ruimtestaat!E222&gt;0,Schoonmaaknormen!BU222*calculatietarief,"")</f>
        <v/>
      </c>
      <c r="F222" s="192" t="str">
        <f ca="1">IF(Ruimtestaat!F222&gt;0,Schoonmaaknormen!BV222*calculatietarief,"")</f>
        <v/>
      </c>
      <c r="G222" s="192" t="str">
        <f ca="1">IF(Ruimtestaat!G222&gt;0,Schoonmaaknormen!BW222*calculatietarief,"")</f>
        <v/>
      </c>
      <c r="H222" s="192" t="str">
        <f ca="1">IF(Ruimtestaat!H222&gt;0,Schoonmaaknormen!BX222*calculatietarief,"")</f>
        <v/>
      </c>
      <c r="I222" s="193" t="str">
        <f>IF(Ruimtestaat!I222&gt;0,Schoonmaaknormen!BY222*calculatietarief,"")</f>
        <v/>
      </c>
      <c r="J222" s="193" t="str">
        <f>IF(Ruimtestaat!J222&gt;0,Schoonmaaknormen!BZ222*calculatietarief,"")</f>
        <v/>
      </c>
      <c r="K222" s="561" t="str">
        <f>IF(Ruimtestaat!K221&gt;0,Schoonmaaknormen!CA222*calculatietarief,"")</f>
        <v/>
      </c>
      <c r="L222" s="553"/>
      <c r="M222" s="172" t="b">
        <f>IF(_xlfn.XLOOKUP(Schoonmaaknormen!BB222,Tabel2[Locatiecode],Tabel2[Type locatie],"",0)="vaccin",TRUE,FALSE)</f>
        <v>0</v>
      </c>
    </row>
    <row r="223" spans="1:13" ht="0.2" customHeight="1" x14ac:dyDescent="0.2">
      <c r="A223" s="172">
        <f ca="1">Ruimtestaat!A223</f>
        <v>2</v>
      </c>
      <c r="B223" s="578"/>
      <c r="C223" s="10">
        <v>52</v>
      </c>
      <c r="D223" s="194" t="str">
        <f ca="1">IF(Ruimtestaat!D223&gt;0,Schoonmaaknormen!BT223*calculatietarief,"")</f>
        <v/>
      </c>
      <c r="E223" s="192" t="str">
        <f ca="1">IF(Ruimtestaat!E223&gt;0,Schoonmaaknormen!BU223*calculatietarief,"")</f>
        <v/>
      </c>
      <c r="F223" s="192" t="str">
        <f ca="1">IF(Ruimtestaat!F223&gt;0,Schoonmaaknormen!BV223*calculatietarief,"")</f>
        <v/>
      </c>
      <c r="G223" s="192" t="str">
        <f ca="1">IF(Ruimtestaat!G223&gt;0,Schoonmaaknormen!BW223*calculatietarief,"")</f>
        <v/>
      </c>
      <c r="H223" s="192" t="str">
        <f ca="1">IF(Ruimtestaat!H223&gt;0,Schoonmaaknormen!BX223*calculatietarief,"")</f>
        <v/>
      </c>
      <c r="I223" s="193" t="str">
        <f ca="1">IF(Ruimtestaat!I223&gt;0,Schoonmaaknormen!BY223*calculatietarief,"")</f>
        <v/>
      </c>
      <c r="J223" s="193" t="str">
        <f>IF(Ruimtestaat!J223&gt;0,Schoonmaaknormen!BZ223*calculatietarief,"")</f>
        <v/>
      </c>
      <c r="K223" s="561"/>
      <c r="L223" s="553"/>
      <c r="M223" s="172" t="b">
        <f>IF(_xlfn.XLOOKUP(Schoonmaaknormen!BB223,Tabel2[Locatiecode],Tabel2[Type locatie],"",0)="vaccin",TRUE,FALSE)</f>
        <v>0</v>
      </c>
    </row>
    <row r="224" spans="1:13" ht="0.2" customHeight="1" x14ac:dyDescent="0.2">
      <c r="A224" s="172">
        <f ca="1">Ruimtestaat!A224</f>
        <v>2</v>
      </c>
      <c r="B224" s="579"/>
      <c r="C224" s="10">
        <v>4</v>
      </c>
      <c r="D224" s="194" t="str">
        <f ca="1">IF(Ruimtestaat!D224&gt;0,Schoonmaaknormen!BT224*calculatietarief,"")</f>
        <v/>
      </c>
      <c r="E224" s="192" t="str">
        <f ca="1">IF(Ruimtestaat!E224&gt;0,Schoonmaaknormen!BU224*calculatietarief,"")</f>
        <v/>
      </c>
      <c r="F224" s="192" t="str">
        <f ca="1">IF(Ruimtestaat!F224&gt;0,Schoonmaaknormen!BV224*calculatietarief,"")</f>
        <v/>
      </c>
      <c r="G224" s="192" t="str">
        <f ca="1">IF(Ruimtestaat!G224&gt;0,Schoonmaaknormen!BW224*calculatietarief,"")</f>
        <v/>
      </c>
      <c r="H224" s="192" t="str">
        <f ca="1">IF(Ruimtestaat!H224&gt;0,Schoonmaaknormen!BX224*calculatietarief,"")</f>
        <v/>
      </c>
      <c r="I224" s="193" t="str">
        <f ca="1">IF(Ruimtestaat!I224&gt;0,Schoonmaaknormen!BY224*calculatietarief,"")</f>
        <v/>
      </c>
      <c r="J224" s="193" t="str">
        <f ca="1">IF(Ruimtestaat!J224&gt;0,Schoonmaaknormen!BZ224*calculatietarief,"")</f>
        <v/>
      </c>
      <c r="K224" s="562" t="str">
        <f>IF(Ruimtestaat!K224&gt;0,Schoonmaaknormen!CA224*calculatietarief,"")</f>
        <v/>
      </c>
      <c r="L224" s="554"/>
      <c r="M224" s="172" t="b">
        <f>IF(_xlfn.XLOOKUP(Schoonmaaknormen!BB224,Tabel2[Locatiecode],Tabel2[Type locatie],"",0)="vaccin",TRUE,FALSE)</f>
        <v>0</v>
      </c>
    </row>
    <row r="225" spans="1:13" ht="0.2" customHeight="1" x14ac:dyDescent="0.2">
      <c r="A225" s="172">
        <f ca="1">Ruimtestaat!A225</f>
        <v>2</v>
      </c>
      <c r="B225" s="577" t="str">
        <f>Schoonmaaknormen!BB225</f>
        <v/>
      </c>
      <c r="C225" s="10">
        <v>255</v>
      </c>
      <c r="D225" s="190" t="str">
        <f ca="1">IF(Ruimtestaat!D225&gt;0,Schoonmaaknormen!BT225*calculatietarief,"")</f>
        <v/>
      </c>
      <c r="E225" s="191" t="str">
        <f>IF(Ruimtestaat!E225&gt;0,Schoonmaaknormen!BU225*calculatietarief,"")</f>
        <v/>
      </c>
      <c r="F225" s="192" t="str">
        <f>IF(Ruimtestaat!F225&gt;0,Schoonmaaknormen!BV225*calculatietarief,"")</f>
        <v/>
      </c>
      <c r="G225" s="191" t="str">
        <f ca="1">IF(Ruimtestaat!G225&gt;0,Schoonmaaknormen!BW225*calculatietarief,"")</f>
        <v/>
      </c>
      <c r="H225" s="191" t="str">
        <f ca="1">IF(Ruimtestaat!H225&gt;0,Schoonmaaknormen!BX225*calculatietarief,"")</f>
        <v/>
      </c>
      <c r="I225" s="193" t="str">
        <f ca="1">IF(Ruimtestaat!I225&gt;0,Schoonmaaknormen!BY225*calculatietarief,"")</f>
        <v/>
      </c>
      <c r="J225" s="193" t="str">
        <f ca="1">IF(Ruimtestaat!J225&gt;0,Schoonmaaknormen!BZ225*calculatietarief,"")</f>
        <v/>
      </c>
      <c r="K225" s="559" t="str">
        <f>IF(Schoonmaaknormen!K225&gt;0,Schoonmaaknormen!CA225*calculatietarief,"")</f>
        <v/>
      </c>
      <c r="L225" s="551">
        <f ca="1">SUM(D225:K230)</f>
        <v>0</v>
      </c>
      <c r="M225" s="172" t="b">
        <f>IF(_xlfn.XLOOKUP(Schoonmaaknormen!BB225,Tabel2[Locatiecode],Tabel2[Type locatie],"",0)="vaccin",TRUE,FALSE)</f>
        <v>0</v>
      </c>
    </row>
    <row r="226" spans="1:13" ht="0.2" customHeight="1" x14ac:dyDescent="0.2">
      <c r="A226" s="172">
        <f ca="1">Ruimtestaat!A226</f>
        <v>2</v>
      </c>
      <c r="B226" s="578"/>
      <c r="C226" s="10">
        <v>204</v>
      </c>
      <c r="D226" s="190" t="str">
        <f ca="1">IF(Ruimtestaat!D226&gt;0,Schoonmaaknormen!BT226*calculatietarief,"")</f>
        <v/>
      </c>
      <c r="E226" s="191" t="str">
        <f>IF(Ruimtestaat!E226&gt;0,Schoonmaaknormen!BU226*calculatietarief,"")</f>
        <v/>
      </c>
      <c r="F226" s="192" t="str">
        <f>IF(Ruimtestaat!F226&gt;0,Schoonmaaknormen!BV226*calculatietarief,"")</f>
        <v/>
      </c>
      <c r="G226" s="191" t="str">
        <f ca="1">IF(Ruimtestaat!G226&gt;0,Schoonmaaknormen!BW226*calculatietarief,"")</f>
        <v/>
      </c>
      <c r="H226" s="191" t="str">
        <f ca="1">IF(Ruimtestaat!H226&gt;0,Schoonmaaknormen!BX226*calculatietarief,"")</f>
        <v/>
      </c>
      <c r="I226" s="193" t="str">
        <f ca="1">IF(Ruimtestaat!I226&gt;0,Schoonmaaknormen!BY226*calculatietarief,"")</f>
        <v/>
      </c>
      <c r="J226" s="193" t="str">
        <f ca="1">IF(Ruimtestaat!J226&gt;0,Schoonmaaknormen!BZ226*calculatietarief,"")</f>
        <v/>
      </c>
      <c r="K226" s="560"/>
      <c r="L226" s="552"/>
      <c r="M226" s="172" t="b">
        <f>IF(_xlfn.XLOOKUP(Schoonmaaknormen!BB226,Tabel2[Locatiecode],Tabel2[Type locatie],"",0)="vaccin",TRUE,FALSE)</f>
        <v>0</v>
      </c>
    </row>
    <row r="227" spans="1:13" ht="0.2" customHeight="1" x14ac:dyDescent="0.2">
      <c r="A227" s="172">
        <f ca="1">Ruimtestaat!A227</f>
        <v>2</v>
      </c>
      <c r="B227" s="578"/>
      <c r="C227" s="10">
        <v>156</v>
      </c>
      <c r="D227" s="190" t="str">
        <f ca="1">IF(Ruimtestaat!D227&gt;0,Schoonmaaknormen!BT227*calculatietarief,"")</f>
        <v/>
      </c>
      <c r="E227" s="191" t="str">
        <f ca="1">IF(Ruimtestaat!E227&gt;0,Schoonmaaknormen!BU227*calculatietarief,"")</f>
        <v/>
      </c>
      <c r="F227" s="192" t="str">
        <f>IF(Ruimtestaat!F227&gt;0,Schoonmaaknormen!BV227*calculatietarief,"")</f>
        <v/>
      </c>
      <c r="G227" s="191" t="str">
        <f>IF(Ruimtestaat!G227&gt;0,Schoonmaaknormen!BW227*calculatietarief,"")</f>
        <v/>
      </c>
      <c r="H227" s="191" t="str">
        <f ca="1">IF(Ruimtestaat!H227&gt;0,Schoonmaaknormen!BX227*calculatietarief,"")</f>
        <v/>
      </c>
      <c r="I227" s="193" t="str">
        <f ca="1">IF(Ruimtestaat!I227&gt;0,Schoonmaaknormen!BY227*calculatietarief,"")</f>
        <v/>
      </c>
      <c r="J227" s="193" t="str">
        <f ca="1">IF(Ruimtestaat!J227&gt;0,Schoonmaaknormen!BZ227*calculatietarief,"")</f>
        <v/>
      </c>
      <c r="K227" s="560"/>
      <c r="L227" s="552"/>
      <c r="M227" s="172" t="b">
        <f>IF(_xlfn.XLOOKUP(Schoonmaaknormen!BB227,Tabel2[Locatiecode],Tabel2[Type locatie],"",0)="vaccin",TRUE,FALSE)</f>
        <v>0</v>
      </c>
    </row>
    <row r="228" spans="1:13" ht="0.2" customHeight="1" x14ac:dyDescent="0.2">
      <c r="A228" s="172">
        <f ca="1">Ruimtestaat!A228</f>
        <v>2</v>
      </c>
      <c r="B228" s="578"/>
      <c r="C228" s="10">
        <v>104</v>
      </c>
      <c r="D228" s="194" t="str">
        <f ca="1">IF(Ruimtestaat!D228&gt;0,Schoonmaaknormen!BT228*calculatietarief,"")</f>
        <v/>
      </c>
      <c r="E228" s="192" t="str">
        <f ca="1">IF(Ruimtestaat!E228&gt;0,Schoonmaaknormen!BU228*calculatietarief,"")</f>
        <v/>
      </c>
      <c r="F228" s="192" t="str">
        <f ca="1">IF(Ruimtestaat!F228&gt;0,Schoonmaaknormen!BV228*calculatietarief,"")</f>
        <v/>
      </c>
      <c r="G228" s="192" t="str">
        <f>IF(Ruimtestaat!G228&gt;0,Schoonmaaknormen!BW228*calculatietarief,"")</f>
        <v/>
      </c>
      <c r="H228" s="192" t="str">
        <f>IF(Ruimtestaat!H228&gt;0,Schoonmaaknormen!BX228*calculatietarief,"")</f>
        <v/>
      </c>
      <c r="I228" s="193" t="str">
        <f ca="1">IF(Ruimtestaat!I228&gt;0,Schoonmaaknormen!BY228*calculatietarief,"")</f>
        <v/>
      </c>
      <c r="J228" s="193" t="str">
        <f ca="1">IF(Ruimtestaat!J228&gt;0,Schoonmaaknormen!BZ228*calculatietarief,"")</f>
        <v/>
      </c>
      <c r="K228" s="561" t="str">
        <f>IF(Ruimtestaat!K227&gt;0,Schoonmaaknormen!CA228*calculatietarief,"")</f>
        <v/>
      </c>
      <c r="L228" s="553"/>
      <c r="M228" s="172" t="b">
        <f>IF(_xlfn.XLOOKUP(Schoonmaaknormen!BB228,Tabel2[Locatiecode],Tabel2[Type locatie],"",0)="vaccin",TRUE,FALSE)</f>
        <v>0</v>
      </c>
    </row>
    <row r="229" spans="1:13" ht="0.2" customHeight="1" x14ac:dyDescent="0.2">
      <c r="A229" s="172">
        <f ca="1">Ruimtestaat!A229</f>
        <v>2</v>
      </c>
      <c r="B229" s="578"/>
      <c r="C229" s="10">
        <v>52</v>
      </c>
      <c r="D229" s="194" t="str">
        <f ca="1">IF(Ruimtestaat!D229&gt;0,Schoonmaaknormen!BT229*calculatietarief,"")</f>
        <v/>
      </c>
      <c r="E229" s="192" t="str">
        <f ca="1">IF(Ruimtestaat!E229&gt;0,Schoonmaaknormen!BU229*calculatietarief,"")</f>
        <v/>
      </c>
      <c r="F229" s="192" t="str">
        <f ca="1">IF(Ruimtestaat!F229&gt;0,Schoonmaaknormen!BV229*calculatietarief,"")</f>
        <v/>
      </c>
      <c r="G229" s="192" t="str">
        <f ca="1">IF(Ruimtestaat!G229&gt;0,Schoonmaaknormen!BW229*calculatietarief,"")</f>
        <v/>
      </c>
      <c r="H229" s="192" t="str">
        <f>IF(Ruimtestaat!H229&gt;0,Schoonmaaknormen!BX229*calculatietarief,"")</f>
        <v/>
      </c>
      <c r="I229" s="193" t="str">
        <f>IF(Ruimtestaat!I229&gt;0,Schoonmaaknormen!BY229*calculatietarief,"")</f>
        <v/>
      </c>
      <c r="J229" s="193" t="str">
        <f>IF(Ruimtestaat!J229&gt;0,Schoonmaaknormen!BZ229*calculatietarief,"")</f>
        <v/>
      </c>
      <c r="K229" s="561"/>
      <c r="L229" s="553"/>
      <c r="M229" s="172" t="b">
        <f>IF(_xlfn.XLOOKUP(Schoonmaaknormen!BB229,Tabel2[Locatiecode],Tabel2[Type locatie],"",0)="vaccin",TRUE,FALSE)</f>
        <v>0</v>
      </c>
    </row>
    <row r="230" spans="1:13" ht="0.2" customHeight="1" x14ac:dyDescent="0.2">
      <c r="A230" s="172">
        <f ca="1">Ruimtestaat!A230</f>
        <v>2</v>
      </c>
      <c r="B230" s="579"/>
      <c r="C230" s="10">
        <v>4</v>
      </c>
      <c r="D230" s="194" t="str">
        <f ca="1">IF(Ruimtestaat!D230&gt;0,Schoonmaaknormen!BT230*calculatietarief,"")</f>
        <v/>
      </c>
      <c r="E230" s="192" t="str">
        <f ca="1">IF(Ruimtestaat!E230&gt;0,Schoonmaaknormen!BU230*calculatietarief,"")</f>
        <v/>
      </c>
      <c r="F230" s="192" t="str">
        <f ca="1">IF(Ruimtestaat!F230&gt;0,Schoonmaaknormen!BV230*calculatietarief,"")</f>
        <v/>
      </c>
      <c r="G230" s="192" t="str">
        <f ca="1">IF(Ruimtestaat!G230&gt;0,Schoonmaaknormen!BW230*calculatietarief,"")</f>
        <v/>
      </c>
      <c r="H230" s="192" t="str">
        <f ca="1">IF(Ruimtestaat!H230&gt;0,Schoonmaaknormen!BX230*calculatietarief,"")</f>
        <v/>
      </c>
      <c r="I230" s="193" t="str">
        <f>IF(Ruimtestaat!I230&gt;0,Schoonmaaknormen!BY230*calculatietarief,"")</f>
        <v/>
      </c>
      <c r="J230" s="193" t="str">
        <f>IF(Ruimtestaat!J230&gt;0,Schoonmaaknormen!BZ230*calculatietarief,"")</f>
        <v/>
      </c>
      <c r="K230" s="562" t="str">
        <f>IF(Ruimtestaat!K230&gt;0,Schoonmaaknormen!CA230*calculatietarief,"")</f>
        <v/>
      </c>
      <c r="L230" s="554"/>
      <c r="M230" s="172" t="b">
        <f>IF(_xlfn.XLOOKUP(Schoonmaaknormen!BB230,Tabel2[Locatiecode],Tabel2[Type locatie],"",0)="vaccin",TRUE,FALSE)</f>
        <v>0</v>
      </c>
    </row>
    <row r="231" spans="1:13" ht="0.2" customHeight="1" x14ac:dyDescent="0.2">
      <c r="A231" s="172">
        <f ca="1">Ruimtestaat!A231</f>
        <v>2</v>
      </c>
      <c r="B231" s="577" t="str">
        <f>Schoonmaaknormen!BB231</f>
        <v/>
      </c>
      <c r="C231" s="10">
        <v>255</v>
      </c>
      <c r="D231" s="190" t="str">
        <f ca="1">IF(Ruimtestaat!D231&gt;0,Schoonmaaknormen!BT231*calculatietarief,"")</f>
        <v/>
      </c>
      <c r="E231" s="191" t="str">
        <f ca="1">IF(Ruimtestaat!E231&gt;0,Schoonmaaknormen!BU231*calculatietarief,"")</f>
        <v/>
      </c>
      <c r="F231" s="192" t="str">
        <f ca="1">IF(Ruimtestaat!F231&gt;0,Schoonmaaknormen!BV231*calculatietarief,"")</f>
        <v/>
      </c>
      <c r="G231" s="191" t="str">
        <f ca="1">IF(Ruimtestaat!G231&gt;0,Schoonmaaknormen!BW231*calculatietarief,"")</f>
        <v/>
      </c>
      <c r="H231" s="191" t="str">
        <f ca="1">IF(Ruimtestaat!H231&gt;0,Schoonmaaknormen!BX231*calculatietarief,"")</f>
        <v/>
      </c>
      <c r="I231" s="193" t="str">
        <f ca="1">IF(Ruimtestaat!I231&gt;0,Schoonmaaknormen!BY231*calculatietarief,"")</f>
        <v/>
      </c>
      <c r="J231" s="193" t="str">
        <f>IF(Ruimtestaat!J231&gt;0,Schoonmaaknormen!BZ231*calculatietarief,"")</f>
        <v/>
      </c>
      <c r="K231" s="559" t="str">
        <f>IF(Schoonmaaknormen!K231&gt;0,Schoonmaaknormen!CA231*calculatietarief,"")</f>
        <v/>
      </c>
      <c r="L231" s="551">
        <f ca="1">SUM(D231:K236)</f>
        <v>0</v>
      </c>
      <c r="M231" s="172" t="b">
        <f>IF(_xlfn.XLOOKUP(Schoonmaaknormen!BB231,Tabel2[Locatiecode],Tabel2[Type locatie],"",0)="vaccin",TRUE,FALSE)</f>
        <v>0</v>
      </c>
    </row>
    <row r="232" spans="1:13" ht="0.2" customHeight="1" x14ac:dyDescent="0.2">
      <c r="A232" s="172">
        <f ca="1">Ruimtestaat!A232</f>
        <v>2</v>
      </c>
      <c r="B232" s="578"/>
      <c r="C232" s="10">
        <v>204</v>
      </c>
      <c r="D232" s="190" t="str">
        <f ca="1">IF(Ruimtestaat!D232&gt;0,Schoonmaaknormen!BT232*calculatietarief,"")</f>
        <v/>
      </c>
      <c r="E232" s="191" t="str">
        <f ca="1">IF(Ruimtestaat!E232&gt;0,Schoonmaaknormen!BU232*calculatietarief,"")</f>
        <v/>
      </c>
      <c r="F232" s="192" t="str">
        <f ca="1">IF(Ruimtestaat!F232&gt;0,Schoonmaaknormen!BV232*calculatietarief,"")</f>
        <v/>
      </c>
      <c r="G232" s="191" t="str">
        <f ca="1">IF(Ruimtestaat!G232&gt;0,Schoonmaaknormen!BW232*calculatietarief,"")</f>
        <v/>
      </c>
      <c r="H232" s="191" t="str">
        <f ca="1">IF(Ruimtestaat!H232&gt;0,Schoonmaaknormen!BX232*calculatietarief,"")</f>
        <v/>
      </c>
      <c r="I232" s="193" t="str">
        <f ca="1">IF(Ruimtestaat!I232&gt;0,Schoonmaaknormen!BY232*calculatietarief,"")</f>
        <v/>
      </c>
      <c r="J232" s="193" t="str">
        <f ca="1">IF(Ruimtestaat!J232&gt;0,Schoonmaaknormen!BZ232*calculatietarief,"")</f>
        <v/>
      </c>
      <c r="K232" s="560"/>
      <c r="L232" s="552"/>
      <c r="M232" s="172" t="b">
        <f>IF(_xlfn.XLOOKUP(Schoonmaaknormen!BB232,Tabel2[Locatiecode],Tabel2[Type locatie],"",0)="vaccin",TRUE,FALSE)</f>
        <v>0</v>
      </c>
    </row>
    <row r="233" spans="1:13" ht="0.2" customHeight="1" x14ac:dyDescent="0.2">
      <c r="A233" s="172">
        <f ca="1">Ruimtestaat!A233</f>
        <v>2</v>
      </c>
      <c r="B233" s="578"/>
      <c r="C233" s="10">
        <v>156</v>
      </c>
      <c r="D233" s="190" t="str">
        <f ca="1">IF(Ruimtestaat!D233&gt;0,Schoonmaaknormen!BT233*calculatietarief,"")</f>
        <v/>
      </c>
      <c r="E233" s="191" t="str">
        <f>IF(Ruimtestaat!E233&gt;0,Schoonmaaknormen!BU233*calculatietarief,"")</f>
        <v/>
      </c>
      <c r="F233" s="192" t="str">
        <f>IF(Ruimtestaat!F233&gt;0,Schoonmaaknormen!BV233*calculatietarief,"")</f>
        <v/>
      </c>
      <c r="G233" s="191" t="str">
        <f ca="1">IF(Ruimtestaat!G233&gt;0,Schoonmaaknormen!BW233*calculatietarief,"")</f>
        <v/>
      </c>
      <c r="H233" s="191" t="str">
        <f ca="1">IF(Ruimtestaat!H233&gt;0,Schoonmaaknormen!BX233*calculatietarief,"")</f>
        <v/>
      </c>
      <c r="I233" s="193" t="str">
        <f ca="1">IF(Ruimtestaat!I233&gt;0,Schoonmaaknormen!BY233*calculatietarief,"")</f>
        <v/>
      </c>
      <c r="J233" s="193" t="str">
        <f ca="1">IF(Ruimtestaat!J233&gt;0,Schoonmaaknormen!BZ233*calculatietarief,"")</f>
        <v/>
      </c>
      <c r="K233" s="560"/>
      <c r="L233" s="552"/>
      <c r="M233" s="172" t="b">
        <f>IF(_xlfn.XLOOKUP(Schoonmaaknormen!BB233,Tabel2[Locatiecode],Tabel2[Type locatie],"",0)="vaccin",TRUE,FALSE)</f>
        <v>0</v>
      </c>
    </row>
    <row r="234" spans="1:13" ht="0.2" customHeight="1" x14ac:dyDescent="0.2">
      <c r="A234" s="172">
        <f ca="1">Ruimtestaat!A234</f>
        <v>2</v>
      </c>
      <c r="B234" s="578"/>
      <c r="C234" s="10">
        <v>104</v>
      </c>
      <c r="D234" s="194" t="str">
        <f ca="1">IF(Ruimtestaat!D234&gt;0,Schoonmaaknormen!BT234*calculatietarief,"")</f>
        <v/>
      </c>
      <c r="E234" s="192" t="str">
        <f>IF(Ruimtestaat!E234&gt;0,Schoonmaaknormen!BU234*calculatietarief,"")</f>
        <v/>
      </c>
      <c r="F234" s="192" t="str">
        <f>IF(Ruimtestaat!F234&gt;0,Schoonmaaknormen!BV234*calculatietarief,"")</f>
        <v/>
      </c>
      <c r="G234" s="192" t="str">
        <f ca="1">IF(Ruimtestaat!G234&gt;0,Schoonmaaknormen!BW234*calculatietarief,"")</f>
        <v/>
      </c>
      <c r="H234" s="192" t="str">
        <f ca="1">IF(Ruimtestaat!H234&gt;0,Schoonmaaknormen!BX234*calculatietarief,"")</f>
        <v/>
      </c>
      <c r="I234" s="193" t="str">
        <f ca="1">IF(Ruimtestaat!I234&gt;0,Schoonmaaknormen!BY234*calculatietarief,"")</f>
        <v/>
      </c>
      <c r="J234" s="193" t="str">
        <f ca="1">IF(Ruimtestaat!J234&gt;0,Schoonmaaknormen!BZ234*calculatietarief,"")</f>
        <v/>
      </c>
      <c r="K234" s="561" t="str">
        <f>IF(Ruimtestaat!K233&gt;0,Schoonmaaknormen!CA234*calculatietarief,"")</f>
        <v/>
      </c>
      <c r="L234" s="553"/>
      <c r="M234" s="172" t="b">
        <f>IF(_xlfn.XLOOKUP(Schoonmaaknormen!BB234,Tabel2[Locatiecode],Tabel2[Type locatie],"",0)="vaccin",TRUE,FALSE)</f>
        <v>0</v>
      </c>
    </row>
    <row r="235" spans="1:13" ht="0.2" customHeight="1" x14ac:dyDescent="0.2">
      <c r="A235" s="172">
        <f ca="1">Ruimtestaat!A235</f>
        <v>2</v>
      </c>
      <c r="B235" s="578"/>
      <c r="C235" s="10">
        <v>52</v>
      </c>
      <c r="D235" s="194" t="str">
        <f ca="1">IF(Ruimtestaat!D235&gt;0,Schoonmaaknormen!BT235*calculatietarief,"")</f>
        <v/>
      </c>
      <c r="E235" s="192" t="str">
        <f ca="1">IF(Ruimtestaat!E235&gt;0,Schoonmaaknormen!BU235*calculatietarief,"")</f>
        <v/>
      </c>
      <c r="F235" s="192" t="str">
        <f>IF(Ruimtestaat!F235&gt;0,Schoonmaaknormen!BV235*calculatietarief,"")</f>
        <v/>
      </c>
      <c r="G235" s="192" t="str">
        <f>IF(Ruimtestaat!G235&gt;0,Schoonmaaknormen!BW235*calculatietarief,"")</f>
        <v/>
      </c>
      <c r="H235" s="192" t="str">
        <f>IF(Ruimtestaat!H235&gt;0,Schoonmaaknormen!BX235*calculatietarief,"")</f>
        <v/>
      </c>
      <c r="I235" s="193" t="str">
        <f ca="1">IF(Ruimtestaat!I235&gt;0,Schoonmaaknormen!BY235*calculatietarief,"")</f>
        <v/>
      </c>
      <c r="J235" s="193" t="str">
        <f ca="1">IF(Ruimtestaat!J235&gt;0,Schoonmaaknormen!BZ235*calculatietarief,"")</f>
        <v/>
      </c>
      <c r="K235" s="561"/>
      <c r="L235" s="553"/>
      <c r="M235" s="172" t="b">
        <f>IF(_xlfn.XLOOKUP(Schoonmaaknormen!BB235,Tabel2[Locatiecode],Tabel2[Type locatie],"",0)="vaccin",TRUE,FALSE)</f>
        <v>0</v>
      </c>
    </row>
    <row r="236" spans="1:13" ht="0.2" customHeight="1" x14ac:dyDescent="0.2">
      <c r="A236" s="172">
        <f ca="1">Ruimtestaat!A236</f>
        <v>2</v>
      </c>
      <c r="B236" s="579"/>
      <c r="C236" s="10">
        <v>4</v>
      </c>
      <c r="D236" s="194" t="str">
        <f ca="1">IF(Ruimtestaat!D236&gt;0,Schoonmaaknormen!BT236*calculatietarief,"")</f>
        <v/>
      </c>
      <c r="E236" s="192" t="str">
        <f ca="1">IF(Ruimtestaat!E236&gt;0,Schoonmaaknormen!BU236*calculatietarief,"")</f>
        <v/>
      </c>
      <c r="F236" s="192" t="str">
        <f ca="1">IF(Ruimtestaat!F236&gt;0,Schoonmaaknormen!BV236*calculatietarief,"")</f>
        <v/>
      </c>
      <c r="G236" s="192" t="str">
        <f>IF(Ruimtestaat!G236&gt;0,Schoonmaaknormen!BW236*calculatietarief,"")</f>
        <v/>
      </c>
      <c r="H236" s="192" t="str">
        <f>IF(Ruimtestaat!H236&gt;0,Schoonmaaknormen!BX236*calculatietarief,"")</f>
        <v/>
      </c>
      <c r="I236" s="193" t="str">
        <f ca="1">IF(Ruimtestaat!I236&gt;0,Schoonmaaknormen!BY236*calculatietarief,"")</f>
        <v/>
      </c>
      <c r="J236" s="193" t="str">
        <f ca="1">IF(Ruimtestaat!J236&gt;0,Schoonmaaknormen!BZ236*calculatietarief,"")</f>
        <v/>
      </c>
      <c r="K236" s="562" t="str">
        <f>IF(Ruimtestaat!K236&gt;0,Schoonmaaknormen!CA236*calculatietarief,"")</f>
        <v/>
      </c>
      <c r="L236" s="554"/>
      <c r="M236" s="172" t="b">
        <f>IF(_xlfn.XLOOKUP(Schoonmaaknormen!BB236,Tabel2[Locatiecode],Tabel2[Type locatie],"",0)="vaccin",TRUE,FALSE)</f>
        <v>0</v>
      </c>
    </row>
    <row r="237" spans="1:13" ht="0.2" customHeight="1" x14ac:dyDescent="0.2">
      <c r="A237" s="172">
        <f ca="1">Ruimtestaat!A237</f>
        <v>2</v>
      </c>
      <c r="B237" s="577" t="str">
        <f>Schoonmaaknormen!BB237</f>
        <v/>
      </c>
      <c r="C237" s="10">
        <v>255</v>
      </c>
      <c r="D237" s="190" t="str">
        <f ca="1">IF(Ruimtestaat!D237&gt;0,Schoonmaaknormen!BT237*calculatietarief,"")</f>
        <v/>
      </c>
      <c r="E237" s="191" t="str">
        <f ca="1">IF(Ruimtestaat!E237&gt;0,Schoonmaaknormen!BU237*calculatietarief,"")</f>
        <v/>
      </c>
      <c r="F237" s="192" t="str">
        <f ca="1">IF(Ruimtestaat!F237&gt;0,Schoonmaaknormen!BV237*calculatietarief,"")</f>
        <v/>
      </c>
      <c r="G237" s="191" t="str">
        <f ca="1">IF(Ruimtestaat!G237&gt;0,Schoonmaaknormen!BW237*calculatietarief,"")</f>
        <v/>
      </c>
      <c r="H237" s="191" t="str">
        <f ca="1">IF(Ruimtestaat!H237&gt;0,Schoonmaaknormen!BX237*calculatietarief,"")</f>
        <v/>
      </c>
      <c r="I237" s="193" t="str">
        <f ca="1">IF(Ruimtestaat!I237&gt;0,Schoonmaaknormen!BY237*calculatietarief,"")</f>
        <v/>
      </c>
      <c r="J237" s="193" t="str">
        <f ca="1">IF(Ruimtestaat!J237&gt;0,Schoonmaaknormen!BZ237*calculatietarief,"")</f>
        <v/>
      </c>
      <c r="K237" s="559" t="str">
        <f>IF(Schoonmaaknormen!K237&gt;0,Schoonmaaknormen!CA237*calculatietarief,"")</f>
        <v/>
      </c>
      <c r="L237" s="551">
        <f ca="1">SUM(D237:K242)</f>
        <v>0</v>
      </c>
      <c r="M237" s="172" t="b">
        <f>IF(_xlfn.XLOOKUP(Schoonmaaknormen!BB237,Tabel2[Locatiecode],Tabel2[Type locatie],"",0)="vaccin",TRUE,FALSE)</f>
        <v>0</v>
      </c>
    </row>
    <row r="238" spans="1:13" ht="0.2" customHeight="1" x14ac:dyDescent="0.2">
      <c r="A238" s="172">
        <f ca="1">Ruimtestaat!A238</f>
        <v>2</v>
      </c>
      <c r="B238" s="578"/>
      <c r="C238" s="10">
        <v>204</v>
      </c>
      <c r="D238" s="190" t="str">
        <f ca="1">IF(Ruimtestaat!D238&gt;0,Schoonmaaknormen!BT238*calculatietarief,"")</f>
        <v/>
      </c>
      <c r="E238" s="191" t="str">
        <f ca="1">IF(Ruimtestaat!E238&gt;0,Schoonmaaknormen!BU238*calculatietarief,"")</f>
        <v/>
      </c>
      <c r="F238" s="192" t="str">
        <f ca="1">IF(Ruimtestaat!F238&gt;0,Schoonmaaknormen!BV238*calculatietarief,"")</f>
        <v/>
      </c>
      <c r="G238" s="191" t="str">
        <f ca="1">IF(Ruimtestaat!G238&gt;0,Schoonmaaknormen!BW238*calculatietarief,"")</f>
        <v/>
      </c>
      <c r="H238" s="191" t="str">
        <f ca="1">IF(Ruimtestaat!H238&gt;0,Schoonmaaknormen!BX238*calculatietarief,"")</f>
        <v/>
      </c>
      <c r="I238" s="193" t="str">
        <f ca="1">IF(Ruimtestaat!I238&gt;0,Schoonmaaknormen!BY238*calculatietarief,"")</f>
        <v/>
      </c>
      <c r="J238" s="193" t="str">
        <f ca="1">IF(Ruimtestaat!J238&gt;0,Schoonmaaknormen!BZ238*calculatietarief,"")</f>
        <v/>
      </c>
      <c r="K238" s="560"/>
      <c r="L238" s="552"/>
      <c r="M238" s="172" t="b">
        <f>IF(_xlfn.XLOOKUP(Schoonmaaknormen!BB238,Tabel2[Locatiecode],Tabel2[Type locatie],"",0)="vaccin",TRUE,FALSE)</f>
        <v>0</v>
      </c>
    </row>
    <row r="239" spans="1:13" ht="0.2" customHeight="1" x14ac:dyDescent="0.2">
      <c r="A239" s="172">
        <f ca="1">Ruimtestaat!A239</f>
        <v>2</v>
      </c>
      <c r="B239" s="578"/>
      <c r="C239" s="10">
        <v>156</v>
      </c>
      <c r="D239" s="190" t="str">
        <f ca="1">IF(Ruimtestaat!D239&gt;0,Schoonmaaknormen!BT239*calculatietarief,"")</f>
        <v/>
      </c>
      <c r="E239" s="191" t="str">
        <f ca="1">IF(Ruimtestaat!E239&gt;0,Schoonmaaknormen!BU239*calculatietarief,"")</f>
        <v/>
      </c>
      <c r="F239" s="192" t="str">
        <f ca="1">IF(Ruimtestaat!F239&gt;0,Schoonmaaknormen!BV239*calculatietarief,"")</f>
        <v/>
      </c>
      <c r="G239" s="191" t="str">
        <f ca="1">IF(Ruimtestaat!G239&gt;0,Schoonmaaknormen!BW239*calculatietarief,"")</f>
        <v/>
      </c>
      <c r="H239" s="191" t="str">
        <f ca="1">IF(Ruimtestaat!H239&gt;0,Schoonmaaknormen!BX239*calculatietarief,"")</f>
        <v/>
      </c>
      <c r="I239" s="193" t="str">
        <f ca="1">IF(Ruimtestaat!I239&gt;0,Schoonmaaknormen!BY239*calculatietarief,"")</f>
        <v/>
      </c>
      <c r="J239" s="193" t="str">
        <f ca="1">IF(Ruimtestaat!J239&gt;0,Schoonmaaknormen!BZ239*calculatietarief,"")</f>
        <v/>
      </c>
      <c r="K239" s="560"/>
      <c r="L239" s="552"/>
      <c r="M239" s="172" t="b">
        <f>IF(_xlfn.XLOOKUP(Schoonmaaknormen!BB239,Tabel2[Locatiecode],Tabel2[Type locatie],"",0)="vaccin",TRUE,FALSE)</f>
        <v>0</v>
      </c>
    </row>
    <row r="240" spans="1:13" ht="0.2" customHeight="1" x14ac:dyDescent="0.2">
      <c r="A240" s="172">
        <f ca="1">Ruimtestaat!A240</f>
        <v>2</v>
      </c>
      <c r="B240" s="578"/>
      <c r="C240" s="10">
        <v>104</v>
      </c>
      <c r="D240" s="194" t="str">
        <f ca="1">IF(Ruimtestaat!D240&gt;0,Schoonmaaknormen!BT240*calculatietarief,"")</f>
        <v/>
      </c>
      <c r="E240" s="192" t="str">
        <f ca="1">IF(Ruimtestaat!E240&gt;0,Schoonmaaknormen!BU240*calculatietarief,"")</f>
        <v/>
      </c>
      <c r="F240" s="192" t="str">
        <f ca="1">IF(Ruimtestaat!F240&gt;0,Schoonmaaknormen!BV240*calculatietarief,"")</f>
        <v/>
      </c>
      <c r="G240" s="192" t="str">
        <f ca="1">IF(Ruimtestaat!G240&gt;0,Schoonmaaknormen!BW240*calculatietarief,"")</f>
        <v/>
      </c>
      <c r="H240" s="192" t="str">
        <f ca="1">IF(Ruimtestaat!H240&gt;0,Schoonmaaknormen!BX240*calculatietarief,"")</f>
        <v/>
      </c>
      <c r="I240" s="193" t="str">
        <f ca="1">IF(Ruimtestaat!I240&gt;0,Schoonmaaknormen!BY240*calculatietarief,"")</f>
        <v/>
      </c>
      <c r="J240" s="193" t="str">
        <f ca="1">IF(Ruimtestaat!J240&gt;0,Schoonmaaknormen!BZ240*calculatietarief,"")</f>
        <v/>
      </c>
      <c r="K240" s="561" t="str">
        <f>IF(Ruimtestaat!K239&gt;0,Schoonmaaknormen!CA240*calculatietarief,"")</f>
        <v/>
      </c>
      <c r="L240" s="553"/>
      <c r="M240" s="172" t="b">
        <f>IF(_xlfn.XLOOKUP(Schoonmaaknormen!BB240,Tabel2[Locatiecode],Tabel2[Type locatie],"",0)="vaccin",TRUE,FALSE)</f>
        <v>0</v>
      </c>
    </row>
    <row r="241" spans="1:13" ht="0.2" customHeight="1" x14ac:dyDescent="0.2">
      <c r="A241" s="172">
        <f ca="1">Ruimtestaat!A241</f>
        <v>2</v>
      </c>
      <c r="B241" s="578"/>
      <c r="C241" s="10">
        <v>52</v>
      </c>
      <c r="D241" s="194" t="str">
        <f ca="1">IF(Ruimtestaat!D241&gt;0,Schoonmaaknormen!BT241*calculatietarief,"")</f>
        <v/>
      </c>
      <c r="E241" s="192" t="str">
        <f ca="1">IF(Ruimtestaat!E241&gt;0,Schoonmaaknormen!BU241*calculatietarief,"")</f>
        <v/>
      </c>
      <c r="F241" s="192" t="str">
        <f ca="1">IF(Ruimtestaat!F241&gt;0,Schoonmaaknormen!BV241*calculatietarief,"")</f>
        <v/>
      </c>
      <c r="G241" s="192" t="str">
        <f ca="1">IF(Ruimtestaat!G241&gt;0,Schoonmaaknormen!BW241*calculatietarief,"")</f>
        <v/>
      </c>
      <c r="H241" s="192" t="str">
        <f ca="1">IF(Ruimtestaat!H241&gt;0,Schoonmaaknormen!BX241*calculatietarief,"")</f>
        <v/>
      </c>
      <c r="I241" s="193" t="str">
        <f ca="1">IF(Ruimtestaat!I241&gt;0,Schoonmaaknormen!BY241*calculatietarief,"")</f>
        <v/>
      </c>
      <c r="J241" s="193" t="str">
        <f ca="1">IF(Ruimtestaat!J241&gt;0,Schoonmaaknormen!BZ241*calculatietarief,"")</f>
        <v/>
      </c>
      <c r="K241" s="561"/>
      <c r="L241" s="553"/>
      <c r="M241" s="172" t="b">
        <f>IF(_xlfn.XLOOKUP(Schoonmaaknormen!BB241,Tabel2[Locatiecode],Tabel2[Type locatie],"",0)="vaccin",TRUE,FALSE)</f>
        <v>0</v>
      </c>
    </row>
    <row r="242" spans="1:13" ht="0.2" customHeight="1" x14ac:dyDescent="0.2">
      <c r="A242" s="172">
        <f ca="1">Ruimtestaat!A242</f>
        <v>2</v>
      </c>
      <c r="B242" s="579"/>
      <c r="C242" s="10">
        <v>4</v>
      </c>
      <c r="D242" s="194" t="str">
        <f ca="1">IF(Ruimtestaat!D242&gt;0,Schoonmaaknormen!BT242*calculatietarief,"")</f>
        <v/>
      </c>
      <c r="E242" s="192" t="str">
        <f ca="1">IF(Ruimtestaat!E242&gt;0,Schoonmaaknormen!BU242*calculatietarief,"")</f>
        <v/>
      </c>
      <c r="F242" s="192" t="str">
        <f ca="1">IF(Ruimtestaat!F242&gt;0,Schoonmaaknormen!BV242*calculatietarief,"")</f>
        <v/>
      </c>
      <c r="G242" s="192" t="str">
        <f ca="1">IF(Ruimtestaat!G242&gt;0,Schoonmaaknormen!BW242*calculatietarief,"")</f>
        <v/>
      </c>
      <c r="H242" s="192" t="str">
        <f ca="1">IF(Ruimtestaat!H242&gt;0,Schoonmaaknormen!BX242*calculatietarief,"")</f>
        <v/>
      </c>
      <c r="I242" s="193" t="str">
        <f ca="1">IF(Ruimtestaat!I242&gt;0,Schoonmaaknormen!BY242*calculatietarief,"")</f>
        <v/>
      </c>
      <c r="J242" s="193" t="str">
        <f ca="1">IF(Ruimtestaat!J242&gt;0,Schoonmaaknormen!BZ242*calculatietarief,"")</f>
        <v/>
      </c>
      <c r="K242" s="562" t="str">
        <f>IF(Ruimtestaat!K242&gt;0,Schoonmaaknormen!CA242*calculatietarief,"")</f>
        <v/>
      </c>
      <c r="L242" s="554"/>
      <c r="M242" s="172" t="b">
        <f>IF(_xlfn.XLOOKUP(Schoonmaaknormen!BB242,Tabel2[Locatiecode],Tabel2[Type locatie],"",0)="vaccin",TRUE,FALSE)</f>
        <v>0</v>
      </c>
    </row>
    <row r="243" spans="1:13" ht="0.2" customHeight="1" x14ac:dyDescent="0.2">
      <c r="A243" s="172">
        <f ca="1">Ruimtestaat!A243</f>
        <v>2</v>
      </c>
      <c r="B243" s="577" t="str">
        <f>Schoonmaaknormen!BB243</f>
        <v/>
      </c>
      <c r="C243" s="10">
        <v>255</v>
      </c>
      <c r="D243" s="190" t="str">
        <f ca="1">IF(Ruimtestaat!D243&gt;0,Schoonmaaknormen!BT243*calculatietarief,"")</f>
        <v/>
      </c>
      <c r="E243" s="191" t="str">
        <f ca="1">IF(Ruimtestaat!E243&gt;0,Schoonmaaknormen!BU243*calculatietarief,"")</f>
        <v/>
      </c>
      <c r="F243" s="192" t="str">
        <f ca="1">IF(Ruimtestaat!F243&gt;0,Schoonmaaknormen!BV243*calculatietarief,"")</f>
        <v/>
      </c>
      <c r="G243" s="191" t="str">
        <f ca="1">IF(Ruimtestaat!G243&gt;0,Schoonmaaknormen!BW243*calculatietarief,"")</f>
        <v/>
      </c>
      <c r="H243" s="191" t="str">
        <f ca="1">IF(Ruimtestaat!H243&gt;0,Schoonmaaknormen!BX243*calculatietarief,"")</f>
        <v/>
      </c>
      <c r="I243" s="193" t="str">
        <f ca="1">IF(Ruimtestaat!I243&gt;0,Schoonmaaknormen!BY243*calculatietarief,"")</f>
        <v/>
      </c>
      <c r="J243" s="193" t="str">
        <f ca="1">IF(Ruimtestaat!J243&gt;0,Schoonmaaknormen!BZ243*calculatietarief,"")</f>
        <v/>
      </c>
      <c r="K243" s="559" t="str">
        <f>IF(Schoonmaaknormen!K243&gt;0,Schoonmaaknormen!CA243*calculatietarief,"")</f>
        <v/>
      </c>
      <c r="L243" s="551">
        <f ca="1">SUM(D243:K248)</f>
        <v>0</v>
      </c>
      <c r="M243" s="172" t="b">
        <f>IF(_xlfn.XLOOKUP(Schoonmaaknormen!BB243,Tabel2[Locatiecode],Tabel2[Type locatie],"",0)="vaccin",TRUE,FALSE)</f>
        <v>0</v>
      </c>
    </row>
    <row r="244" spans="1:13" ht="0.2" customHeight="1" x14ac:dyDescent="0.2">
      <c r="A244" s="172">
        <f ca="1">Ruimtestaat!A244</f>
        <v>2</v>
      </c>
      <c r="B244" s="578"/>
      <c r="C244" s="10">
        <v>204</v>
      </c>
      <c r="D244" s="190" t="str">
        <f ca="1">IF(Ruimtestaat!D244&gt;0,Schoonmaaknormen!BT244*calculatietarief,"")</f>
        <v/>
      </c>
      <c r="E244" s="191" t="str">
        <f ca="1">IF(Ruimtestaat!E244&gt;0,Schoonmaaknormen!BU244*calculatietarief,"")</f>
        <v/>
      </c>
      <c r="F244" s="192" t="str">
        <f ca="1">IF(Ruimtestaat!F244&gt;0,Schoonmaaknormen!BV244*calculatietarief,"")</f>
        <v/>
      </c>
      <c r="G244" s="191" t="str">
        <f ca="1">IF(Ruimtestaat!G244&gt;0,Schoonmaaknormen!BW244*calculatietarief,"")</f>
        <v/>
      </c>
      <c r="H244" s="191" t="str">
        <f ca="1">IF(Ruimtestaat!H244&gt;0,Schoonmaaknormen!BX244*calculatietarief,"")</f>
        <v/>
      </c>
      <c r="I244" s="193" t="str">
        <f ca="1">IF(Ruimtestaat!I244&gt;0,Schoonmaaknormen!BY244*calculatietarief,"")</f>
        <v/>
      </c>
      <c r="J244" s="193" t="str">
        <f ca="1">IF(Ruimtestaat!J244&gt;0,Schoonmaaknormen!BZ244*calculatietarief,"")</f>
        <v/>
      </c>
      <c r="K244" s="560"/>
      <c r="L244" s="552"/>
      <c r="M244" s="172" t="b">
        <f>IF(_xlfn.XLOOKUP(Schoonmaaknormen!BB244,Tabel2[Locatiecode],Tabel2[Type locatie],"",0)="vaccin",TRUE,FALSE)</f>
        <v>0</v>
      </c>
    </row>
    <row r="245" spans="1:13" ht="0.2" customHeight="1" x14ac:dyDescent="0.2">
      <c r="A245" s="172">
        <f ca="1">Ruimtestaat!A245</f>
        <v>2</v>
      </c>
      <c r="B245" s="578"/>
      <c r="C245" s="10">
        <v>156</v>
      </c>
      <c r="D245" s="190" t="str">
        <f ca="1">IF(Ruimtestaat!D245&gt;0,Schoonmaaknormen!BT245*calculatietarief,"")</f>
        <v/>
      </c>
      <c r="E245" s="191" t="str">
        <f ca="1">IF(Ruimtestaat!E245&gt;0,Schoonmaaknormen!BU245*calculatietarief,"")</f>
        <v/>
      </c>
      <c r="F245" s="192" t="str">
        <f ca="1">IF(Ruimtestaat!F245&gt;0,Schoonmaaknormen!BV245*calculatietarief,"")</f>
        <v/>
      </c>
      <c r="G245" s="191" t="str">
        <f ca="1">IF(Ruimtestaat!G245&gt;0,Schoonmaaknormen!BW245*calculatietarief,"")</f>
        <v/>
      </c>
      <c r="H245" s="191" t="str">
        <f ca="1">IF(Ruimtestaat!H245&gt;0,Schoonmaaknormen!BX245*calculatietarief,"")</f>
        <v/>
      </c>
      <c r="I245" s="193" t="str">
        <f ca="1">IF(Ruimtestaat!I245&gt;0,Schoonmaaknormen!BY245*calculatietarief,"")</f>
        <v/>
      </c>
      <c r="J245" s="193" t="str">
        <f ca="1">IF(Ruimtestaat!J245&gt;0,Schoonmaaknormen!BZ245*calculatietarief,"")</f>
        <v/>
      </c>
      <c r="K245" s="560"/>
      <c r="L245" s="552"/>
      <c r="M245" s="172" t="b">
        <f>IF(_xlfn.XLOOKUP(Schoonmaaknormen!BB245,Tabel2[Locatiecode],Tabel2[Type locatie],"",0)="vaccin",TRUE,FALSE)</f>
        <v>0</v>
      </c>
    </row>
    <row r="246" spans="1:13" ht="0.2" customHeight="1" x14ac:dyDescent="0.2">
      <c r="A246" s="172">
        <f ca="1">Ruimtestaat!A246</f>
        <v>2</v>
      </c>
      <c r="B246" s="578"/>
      <c r="C246" s="10">
        <v>104</v>
      </c>
      <c r="D246" s="194" t="str">
        <f ca="1">IF(Ruimtestaat!D246&gt;0,Schoonmaaknormen!BT246*calculatietarief,"")</f>
        <v/>
      </c>
      <c r="E246" s="192" t="str">
        <f ca="1">IF(Ruimtestaat!E246&gt;0,Schoonmaaknormen!BU246*calculatietarief,"")</f>
        <v/>
      </c>
      <c r="F246" s="192" t="str">
        <f ca="1">IF(Ruimtestaat!F246&gt;0,Schoonmaaknormen!BV246*calculatietarief,"")</f>
        <v/>
      </c>
      <c r="G246" s="192" t="str">
        <f ca="1">IF(Ruimtestaat!G246&gt;0,Schoonmaaknormen!BW246*calculatietarief,"")</f>
        <v/>
      </c>
      <c r="H246" s="192" t="str">
        <f ca="1">IF(Ruimtestaat!H246&gt;0,Schoonmaaknormen!BX246*calculatietarief,"")</f>
        <v/>
      </c>
      <c r="I246" s="193" t="str">
        <f ca="1">IF(Ruimtestaat!I246&gt;0,Schoonmaaknormen!BY246*calculatietarief,"")</f>
        <v/>
      </c>
      <c r="J246" s="193" t="str">
        <f ca="1">IF(Ruimtestaat!J246&gt;0,Schoonmaaknormen!BZ246*calculatietarief,"")</f>
        <v/>
      </c>
      <c r="K246" s="561" t="str">
        <f>IF(Ruimtestaat!K245&gt;0,Schoonmaaknormen!CA246*calculatietarief,"")</f>
        <v/>
      </c>
      <c r="L246" s="553"/>
      <c r="M246" s="172" t="b">
        <f>IF(_xlfn.XLOOKUP(Schoonmaaknormen!BB246,Tabel2[Locatiecode],Tabel2[Type locatie],"",0)="vaccin",TRUE,FALSE)</f>
        <v>0</v>
      </c>
    </row>
    <row r="247" spans="1:13" ht="0.2" customHeight="1" x14ac:dyDescent="0.2">
      <c r="A247" s="172">
        <f ca="1">Ruimtestaat!A247</f>
        <v>2</v>
      </c>
      <c r="B247" s="578"/>
      <c r="C247" s="10">
        <v>52</v>
      </c>
      <c r="D247" s="194" t="str">
        <f ca="1">IF(Ruimtestaat!D247&gt;0,Schoonmaaknormen!BT247*calculatietarief,"")</f>
        <v/>
      </c>
      <c r="E247" s="192" t="str">
        <f ca="1">IF(Ruimtestaat!E247&gt;0,Schoonmaaknormen!BU247*calculatietarief,"")</f>
        <v/>
      </c>
      <c r="F247" s="192" t="str">
        <f ca="1">IF(Ruimtestaat!F247&gt;0,Schoonmaaknormen!BV247*calculatietarief,"")</f>
        <v/>
      </c>
      <c r="G247" s="192" t="str">
        <f ca="1">IF(Ruimtestaat!G247&gt;0,Schoonmaaknormen!BW247*calculatietarief,"")</f>
        <v/>
      </c>
      <c r="H247" s="192" t="str">
        <f ca="1">IF(Ruimtestaat!H247&gt;0,Schoonmaaknormen!BX247*calculatietarief,"")</f>
        <v/>
      </c>
      <c r="I247" s="193" t="str">
        <f ca="1">IF(Ruimtestaat!I247&gt;0,Schoonmaaknormen!BY247*calculatietarief,"")</f>
        <v/>
      </c>
      <c r="J247" s="193" t="str">
        <f ca="1">IF(Ruimtestaat!J247&gt;0,Schoonmaaknormen!BZ247*calculatietarief,"")</f>
        <v/>
      </c>
      <c r="K247" s="561"/>
      <c r="L247" s="553"/>
      <c r="M247" s="172" t="b">
        <f>IF(_xlfn.XLOOKUP(Schoonmaaknormen!BB247,Tabel2[Locatiecode],Tabel2[Type locatie],"",0)="vaccin",TRUE,FALSE)</f>
        <v>0</v>
      </c>
    </row>
    <row r="248" spans="1:13" ht="0.2" customHeight="1" x14ac:dyDescent="0.2">
      <c r="A248" s="172">
        <f ca="1">Ruimtestaat!A248</f>
        <v>2</v>
      </c>
      <c r="B248" s="579"/>
      <c r="C248" s="10">
        <v>4</v>
      </c>
      <c r="D248" s="194" t="str">
        <f ca="1">IF(Ruimtestaat!D248&gt;0,Schoonmaaknormen!BT248*calculatietarief,"")</f>
        <v/>
      </c>
      <c r="E248" s="192" t="str">
        <f ca="1">IF(Ruimtestaat!E248&gt;0,Schoonmaaknormen!BU248*calculatietarief,"")</f>
        <v/>
      </c>
      <c r="F248" s="192" t="str">
        <f ca="1">IF(Ruimtestaat!F248&gt;0,Schoonmaaknormen!BV248*calculatietarief,"")</f>
        <v/>
      </c>
      <c r="G248" s="192" t="str">
        <f ca="1">IF(Ruimtestaat!G248&gt;0,Schoonmaaknormen!BW248*calculatietarief,"")</f>
        <v/>
      </c>
      <c r="H248" s="192" t="str">
        <f ca="1">IF(Ruimtestaat!H248&gt;0,Schoonmaaknormen!BX248*calculatietarief,"")</f>
        <v/>
      </c>
      <c r="I248" s="193" t="str">
        <f ca="1">IF(Ruimtestaat!I248&gt;0,Schoonmaaknormen!BY248*calculatietarief,"")</f>
        <v/>
      </c>
      <c r="J248" s="193" t="str">
        <f ca="1">IF(Ruimtestaat!J248&gt;0,Schoonmaaknormen!BZ248*calculatietarief,"")</f>
        <v/>
      </c>
      <c r="K248" s="562" t="str">
        <f>IF(Ruimtestaat!K248&gt;0,Schoonmaaknormen!CA248*calculatietarief,"")</f>
        <v/>
      </c>
      <c r="L248" s="554"/>
      <c r="M248" s="172" t="b">
        <f>IF(_xlfn.XLOOKUP(Schoonmaaknormen!BB248,Tabel2[Locatiecode],Tabel2[Type locatie],"",0)="vaccin",TRUE,FALSE)</f>
        <v>0</v>
      </c>
    </row>
    <row r="249" spans="1:13" ht="0.2" customHeight="1" x14ac:dyDescent="0.2">
      <c r="A249" s="172">
        <f ca="1">Ruimtestaat!A249</f>
        <v>2</v>
      </c>
      <c r="B249" s="577" t="str">
        <f>Schoonmaaknormen!BB249</f>
        <v/>
      </c>
      <c r="C249" s="10">
        <v>255</v>
      </c>
      <c r="D249" s="190" t="str">
        <f ca="1">IF(Ruimtestaat!D249&gt;0,Schoonmaaknormen!BT249*calculatietarief,"")</f>
        <v/>
      </c>
      <c r="E249" s="191" t="str">
        <f ca="1">IF(Ruimtestaat!E249&gt;0,Schoonmaaknormen!BU249*calculatietarief,"")</f>
        <v/>
      </c>
      <c r="F249" s="192" t="str">
        <f ca="1">IF(Ruimtestaat!F249&gt;0,Schoonmaaknormen!BV249*calculatietarief,"")</f>
        <v/>
      </c>
      <c r="G249" s="191" t="str">
        <f ca="1">IF(Ruimtestaat!G249&gt;0,Schoonmaaknormen!BW249*calculatietarief,"")</f>
        <v/>
      </c>
      <c r="H249" s="191" t="str">
        <f ca="1">IF(Ruimtestaat!H249&gt;0,Schoonmaaknormen!BX249*calculatietarief,"")</f>
        <v/>
      </c>
      <c r="I249" s="193" t="str">
        <f ca="1">IF(Ruimtestaat!I249&gt;0,Schoonmaaknormen!BY249*calculatietarief,"")</f>
        <v/>
      </c>
      <c r="J249" s="193" t="str">
        <f ca="1">IF(Ruimtestaat!J249&gt;0,Schoonmaaknormen!BZ249*calculatietarief,"")</f>
        <v/>
      </c>
      <c r="K249" s="559" t="str">
        <f>IF(Schoonmaaknormen!K249&gt;0,Schoonmaaknormen!CA249*calculatietarief,"")</f>
        <v/>
      </c>
      <c r="L249" s="551">
        <f ca="1">SUM(D249:K254)</f>
        <v>0</v>
      </c>
      <c r="M249" s="172" t="b">
        <f>IF(_xlfn.XLOOKUP(Schoonmaaknormen!BB249,Tabel2[Locatiecode],Tabel2[Type locatie],"",0)="vaccin",TRUE,FALSE)</f>
        <v>0</v>
      </c>
    </row>
    <row r="250" spans="1:13" ht="0.2" customHeight="1" x14ac:dyDescent="0.2">
      <c r="A250" s="172">
        <f ca="1">Ruimtestaat!A250</f>
        <v>2</v>
      </c>
      <c r="B250" s="578"/>
      <c r="C250" s="10">
        <v>204</v>
      </c>
      <c r="D250" s="190" t="str">
        <f ca="1">IF(Ruimtestaat!D250&gt;0,Schoonmaaknormen!BT250*calculatietarief,"")</f>
        <v/>
      </c>
      <c r="E250" s="191" t="str">
        <f ca="1">IF(Ruimtestaat!E250&gt;0,Schoonmaaknormen!BU250*calculatietarief,"")</f>
        <v/>
      </c>
      <c r="F250" s="192" t="str">
        <f ca="1">IF(Ruimtestaat!F250&gt;0,Schoonmaaknormen!BV250*calculatietarief,"")</f>
        <v/>
      </c>
      <c r="G250" s="191" t="str">
        <f ca="1">IF(Ruimtestaat!G250&gt;0,Schoonmaaknormen!BW250*calculatietarief,"")</f>
        <v/>
      </c>
      <c r="H250" s="191" t="str">
        <f ca="1">IF(Ruimtestaat!H250&gt;0,Schoonmaaknormen!BX250*calculatietarief,"")</f>
        <v/>
      </c>
      <c r="I250" s="193" t="str">
        <f ca="1">IF(Ruimtestaat!I250&gt;0,Schoonmaaknormen!BY250*calculatietarief,"")</f>
        <v/>
      </c>
      <c r="J250" s="193" t="str">
        <f ca="1">IF(Ruimtestaat!J250&gt;0,Schoonmaaknormen!BZ250*calculatietarief,"")</f>
        <v/>
      </c>
      <c r="K250" s="560"/>
      <c r="L250" s="552"/>
      <c r="M250" s="172" t="b">
        <f>IF(_xlfn.XLOOKUP(Schoonmaaknormen!BB250,Tabel2[Locatiecode],Tabel2[Type locatie],"",0)="vaccin",TRUE,FALSE)</f>
        <v>0</v>
      </c>
    </row>
    <row r="251" spans="1:13" ht="0.2" customHeight="1" x14ac:dyDescent="0.2">
      <c r="A251" s="172">
        <f ca="1">Ruimtestaat!A251</f>
        <v>2</v>
      </c>
      <c r="B251" s="578"/>
      <c r="C251" s="10">
        <v>156</v>
      </c>
      <c r="D251" s="190" t="str">
        <f ca="1">IF(Ruimtestaat!D251&gt;0,Schoonmaaknormen!BT251*calculatietarief,"")</f>
        <v/>
      </c>
      <c r="E251" s="191" t="str">
        <f ca="1">IF(Ruimtestaat!E251&gt;0,Schoonmaaknormen!BU251*calculatietarief,"")</f>
        <v/>
      </c>
      <c r="F251" s="192" t="str">
        <f ca="1">IF(Ruimtestaat!F251&gt;0,Schoonmaaknormen!BV251*calculatietarief,"")</f>
        <v/>
      </c>
      <c r="G251" s="191" t="str">
        <f ca="1">IF(Ruimtestaat!G251&gt;0,Schoonmaaknormen!BW251*calculatietarief,"")</f>
        <v/>
      </c>
      <c r="H251" s="191" t="str">
        <f ca="1">IF(Ruimtestaat!H251&gt;0,Schoonmaaknormen!BX251*calculatietarief,"")</f>
        <v/>
      </c>
      <c r="I251" s="193" t="str">
        <f ca="1">IF(Ruimtestaat!I251&gt;0,Schoonmaaknormen!BY251*calculatietarief,"")</f>
        <v/>
      </c>
      <c r="J251" s="193" t="str">
        <f ca="1">IF(Ruimtestaat!J251&gt;0,Schoonmaaknormen!BZ251*calculatietarief,"")</f>
        <v/>
      </c>
      <c r="K251" s="560"/>
      <c r="L251" s="552"/>
      <c r="M251" s="172" t="b">
        <f>IF(_xlfn.XLOOKUP(Schoonmaaknormen!BB251,Tabel2[Locatiecode],Tabel2[Type locatie],"",0)="vaccin",TRUE,FALSE)</f>
        <v>0</v>
      </c>
    </row>
    <row r="252" spans="1:13" ht="0.2" customHeight="1" x14ac:dyDescent="0.2">
      <c r="A252" s="172">
        <f ca="1">Ruimtestaat!A252</f>
        <v>2</v>
      </c>
      <c r="B252" s="578"/>
      <c r="C252" s="10">
        <v>104</v>
      </c>
      <c r="D252" s="194" t="str">
        <f ca="1">IF(Ruimtestaat!D252&gt;0,Schoonmaaknormen!BT252*calculatietarief,"")</f>
        <v/>
      </c>
      <c r="E252" s="192" t="str">
        <f ca="1">IF(Ruimtestaat!E252&gt;0,Schoonmaaknormen!BU252*calculatietarief,"")</f>
        <v/>
      </c>
      <c r="F252" s="192" t="str">
        <f ca="1">IF(Ruimtestaat!F252&gt;0,Schoonmaaknormen!BV252*calculatietarief,"")</f>
        <v/>
      </c>
      <c r="G252" s="192" t="str">
        <f ca="1">IF(Ruimtestaat!G252&gt;0,Schoonmaaknormen!BW252*calculatietarief,"")</f>
        <v/>
      </c>
      <c r="H252" s="192" t="str">
        <f ca="1">IF(Ruimtestaat!H252&gt;0,Schoonmaaknormen!BX252*calculatietarief,"")</f>
        <v/>
      </c>
      <c r="I252" s="193" t="str">
        <f ca="1">IF(Ruimtestaat!I252&gt;0,Schoonmaaknormen!BY252*calculatietarief,"")</f>
        <v/>
      </c>
      <c r="J252" s="193" t="str">
        <f ca="1">IF(Ruimtestaat!J252&gt;0,Schoonmaaknormen!BZ252*calculatietarief,"")</f>
        <v/>
      </c>
      <c r="K252" s="561" t="str">
        <f>IF(Ruimtestaat!K251&gt;0,Schoonmaaknormen!CA252*calculatietarief,"")</f>
        <v/>
      </c>
      <c r="L252" s="553"/>
      <c r="M252" s="172" t="b">
        <f>IF(_xlfn.XLOOKUP(Schoonmaaknormen!BB252,Tabel2[Locatiecode],Tabel2[Type locatie],"",0)="vaccin",TRUE,FALSE)</f>
        <v>0</v>
      </c>
    </row>
    <row r="253" spans="1:13" ht="0.2" customHeight="1" x14ac:dyDescent="0.2">
      <c r="A253" s="172">
        <f ca="1">Ruimtestaat!A253</f>
        <v>2</v>
      </c>
      <c r="B253" s="578"/>
      <c r="C253" s="10">
        <v>52</v>
      </c>
      <c r="D253" s="194" t="str">
        <f ca="1">IF(Ruimtestaat!D253&gt;0,Schoonmaaknormen!BT253*calculatietarief,"")</f>
        <v/>
      </c>
      <c r="E253" s="192" t="str">
        <f ca="1">IF(Ruimtestaat!E253&gt;0,Schoonmaaknormen!BU253*calculatietarief,"")</f>
        <v/>
      </c>
      <c r="F253" s="192" t="str">
        <f ca="1">IF(Ruimtestaat!F253&gt;0,Schoonmaaknormen!BV253*calculatietarief,"")</f>
        <v/>
      </c>
      <c r="G253" s="192" t="str">
        <f ca="1">IF(Ruimtestaat!G253&gt;0,Schoonmaaknormen!BW253*calculatietarief,"")</f>
        <v/>
      </c>
      <c r="H253" s="192" t="str">
        <f ca="1">IF(Ruimtestaat!H253&gt;0,Schoonmaaknormen!BX253*calculatietarief,"")</f>
        <v/>
      </c>
      <c r="I253" s="193" t="str">
        <f ca="1">IF(Ruimtestaat!I253&gt;0,Schoonmaaknormen!BY253*calculatietarief,"")</f>
        <v/>
      </c>
      <c r="J253" s="193" t="str">
        <f ca="1">IF(Ruimtestaat!J253&gt;0,Schoonmaaknormen!BZ253*calculatietarief,"")</f>
        <v/>
      </c>
      <c r="K253" s="561"/>
      <c r="L253" s="553"/>
      <c r="M253" s="172" t="b">
        <f>IF(_xlfn.XLOOKUP(Schoonmaaknormen!BB253,Tabel2[Locatiecode],Tabel2[Type locatie],"",0)="vaccin",TRUE,FALSE)</f>
        <v>0</v>
      </c>
    </row>
    <row r="254" spans="1:13" ht="0.2" customHeight="1" x14ac:dyDescent="0.2">
      <c r="A254" s="172">
        <f ca="1">Ruimtestaat!A254</f>
        <v>2</v>
      </c>
      <c r="B254" s="579"/>
      <c r="C254" s="10">
        <v>4</v>
      </c>
      <c r="D254" s="194" t="str">
        <f ca="1">IF(Ruimtestaat!D254&gt;0,Schoonmaaknormen!BT254*calculatietarief,"")</f>
        <v/>
      </c>
      <c r="E254" s="192" t="str">
        <f ca="1">IF(Ruimtestaat!E254&gt;0,Schoonmaaknormen!BU254*calculatietarief,"")</f>
        <v/>
      </c>
      <c r="F254" s="192" t="str">
        <f ca="1">IF(Ruimtestaat!F254&gt;0,Schoonmaaknormen!BV254*calculatietarief,"")</f>
        <v/>
      </c>
      <c r="G254" s="192" t="str">
        <f ca="1">IF(Ruimtestaat!G254&gt;0,Schoonmaaknormen!BW254*calculatietarief,"")</f>
        <v/>
      </c>
      <c r="H254" s="192" t="str">
        <f ca="1">IF(Ruimtestaat!H254&gt;0,Schoonmaaknormen!BX254*calculatietarief,"")</f>
        <v/>
      </c>
      <c r="I254" s="193" t="str">
        <f ca="1">IF(Ruimtestaat!I254&gt;0,Schoonmaaknormen!BY254*calculatietarief,"")</f>
        <v/>
      </c>
      <c r="J254" s="193" t="str">
        <f ca="1">IF(Ruimtestaat!J254&gt;0,Schoonmaaknormen!BZ254*calculatietarief,"")</f>
        <v/>
      </c>
      <c r="K254" s="562" t="str">
        <f>IF(Ruimtestaat!K254&gt;0,Schoonmaaknormen!CA254*calculatietarief,"")</f>
        <v/>
      </c>
      <c r="L254" s="554"/>
      <c r="M254" s="172" t="b">
        <f>IF(_xlfn.XLOOKUP(Schoonmaaknormen!BB254,Tabel2[Locatiecode],Tabel2[Type locatie],"",0)="vaccin",TRUE,FALSE)</f>
        <v>0</v>
      </c>
    </row>
    <row r="255" spans="1:13" ht="0.2" customHeight="1" x14ac:dyDescent="0.2">
      <c r="A255" s="172">
        <f ca="1">Ruimtestaat!A255</f>
        <v>2</v>
      </c>
      <c r="B255" s="577" t="str">
        <f>Schoonmaaknormen!BB255</f>
        <v/>
      </c>
      <c r="C255" s="10">
        <v>255</v>
      </c>
      <c r="D255" s="190" t="str">
        <f ca="1">IF(Ruimtestaat!D255&gt;0,Schoonmaaknormen!BT255*calculatietarief,"")</f>
        <v/>
      </c>
      <c r="E255" s="191" t="str">
        <f ca="1">IF(Ruimtestaat!E255&gt;0,Schoonmaaknormen!BU255*calculatietarief,"")</f>
        <v/>
      </c>
      <c r="F255" s="192" t="str">
        <f ca="1">IF(Ruimtestaat!F255&gt;0,Schoonmaaknormen!BV255*calculatietarief,"")</f>
        <v/>
      </c>
      <c r="G255" s="191" t="str">
        <f ca="1">IF(Ruimtestaat!G255&gt;0,Schoonmaaknormen!BW255*calculatietarief,"")</f>
        <v/>
      </c>
      <c r="H255" s="191" t="str">
        <f ca="1">IF(Ruimtestaat!H255&gt;0,Schoonmaaknormen!BX255*calculatietarief,"")</f>
        <v/>
      </c>
      <c r="I255" s="193" t="str">
        <f ca="1">IF(Ruimtestaat!I255&gt;0,Schoonmaaknormen!BY255*calculatietarief,"")</f>
        <v/>
      </c>
      <c r="J255" s="193" t="str">
        <f ca="1">IF(Ruimtestaat!J255&gt;0,Schoonmaaknormen!BZ255*calculatietarief,"")</f>
        <v/>
      </c>
      <c r="K255" s="559" t="str">
        <f>IF(Schoonmaaknormen!K255&gt;0,Schoonmaaknormen!CA255*calculatietarief,"")</f>
        <v/>
      </c>
      <c r="L255" s="551">
        <f ca="1">SUM(D255:K260)</f>
        <v>0</v>
      </c>
      <c r="M255" s="172" t="b">
        <f>IF(_xlfn.XLOOKUP(Schoonmaaknormen!BB255,Tabel2[Locatiecode],Tabel2[Type locatie],"",0)="vaccin",TRUE,FALSE)</f>
        <v>0</v>
      </c>
    </row>
    <row r="256" spans="1:13" ht="0.2" customHeight="1" x14ac:dyDescent="0.2">
      <c r="A256" s="172">
        <f ca="1">Ruimtestaat!A256</f>
        <v>2</v>
      </c>
      <c r="B256" s="578"/>
      <c r="C256" s="10">
        <v>204</v>
      </c>
      <c r="D256" s="190" t="str">
        <f ca="1">IF(Ruimtestaat!D256&gt;0,Schoonmaaknormen!BT256*calculatietarief,"")</f>
        <v/>
      </c>
      <c r="E256" s="191" t="str">
        <f ca="1">IF(Ruimtestaat!E256&gt;0,Schoonmaaknormen!BU256*calculatietarief,"")</f>
        <v/>
      </c>
      <c r="F256" s="192" t="str">
        <f ca="1">IF(Ruimtestaat!F256&gt;0,Schoonmaaknormen!BV256*calculatietarief,"")</f>
        <v/>
      </c>
      <c r="G256" s="191" t="str">
        <f ca="1">IF(Ruimtestaat!G256&gt;0,Schoonmaaknormen!BW256*calculatietarief,"")</f>
        <v/>
      </c>
      <c r="H256" s="191" t="str">
        <f ca="1">IF(Ruimtestaat!H256&gt;0,Schoonmaaknormen!BX256*calculatietarief,"")</f>
        <v/>
      </c>
      <c r="I256" s="193" t="str">
        <f ca="1">IF(Ruimtestaat!I256&gt;0,Schoonmaaknormen!BY256*calculatietarief,"")</f>
        <v/>
      </c>
      <c r="J256" s="193" t="str">
        <f ca="1">IF(Ruimtestaat!J256&gt;0,Schoonmaaknormen!BZ256*calculatietarief,"")</f>
        <v/>
      </c>
      <c r="K256" s="560"/>
      <c r="L256" s="552"/>
      <c r="M256" s="172" t="b">
        <f>IF(_xlfn.XLOOKUP(Schoonmaaknormen!BB256,Tabel2[Locatiecode],Tabel2[Type locatie],"",0)="vaccin",TRUE,FALSE)</f>
        <v>0</v>
      </c>
    </row>
    <row r="257" spans="1:13" ht="0.2" customHeight="1" x14ac:dyDescent="0.2">
      <c r="A257" s="172">
        <f ca="1">Ruimtestaat!A257</f>
        <v>2</v>
      </c>
      <c r="B257" s="578"/>
      <c r="C257" s="10">
        <v>156</v>
      </c>
      <c r="D257" s="190" t="str">
        <f ca="1">IF(Ruimtestaat!D257&gt;0,Schoonmaaknormen!BT257*calculatietarief,"")</f>
        <v/>
      </c>
      <c r="E257" s="191" t="str">
        <f ca="1">IF(Ruimtestaat!E257&gt;0,Schoonmaaknormen!BU257*calculatietarief,"")</f>
        <v/>
      </c>
      <c r="F257" s="192" t="str">
        <f ca="1">IF(Ruimtestaat!F257&gt;0,Schoonmaaknormen!BV257*calculatietarief,"")</f>
        <v/>
      </c>
      <c r="G257" s="191" t="str">
        <f ca="1">IF(Ruimtestaat!G257&gt;0,Schoonmaaknormen!BW257*calculatietarief,"")</f>
        <v/>
      </c>
      <c r="H257" s="191" t="str">
        <f ca="1">IF(Ruimtestaat!H257&gt;0,Schoonmaaknormen!BX257*calculatietarief,"")</f>
        <v/>
      </c>
      <c r="I257" s="193" t="str">
        <f ca="1">IF(Ruimtestaat!I257&gt;0,Schoonmaaknormen!BY257*calculatietarief,"")</f>
        <v/>
      </c>
      <c r="J257" s="193" t="str">
        <f ca="1">IF(Ruimtestaat!J257&gt;0,Schoonmaaknormen!BZ257*calculatietarief,"")</f>
        <v/>
      </c>
      <c r="K257" s="560"/>
      <c r="L257" s="552"/>
      <c r="M257" s="172" t="b">
        <f>IF(_xlfn.XLOOKUP(Schoonmaaknormen!BB257,Tabel2[Locatiecode],Tabel2[Type locatie],"",0)="vaccin",TRUE,FALSE)</f>
        <v>0</v>
      </c>
    </row>
    <row r="258" spans="1:13" ht="0.2" customHeight="1" x14ac:dyDescent="0.2">
      <c r="A258" s="172">
        <f ca="1">Ruimtestaat!A258</f>
        <v>2</v>
      </c>
      <c r="B258" s="578"/>
      <c r="C258" s="10">
        <v>104</v>
      </c>
      <c r="D258" s="194" t="str">
        <f ca="1">IF(Ruimtestaat!D258&gt;0,Schoonmaaknormen!BT258*calculatietarief,"")</f>
        <v/>
      </c>
      <c r="E258" s="192" t="str">
        <f ca="1">IF(Ruimtestaat!E258&gt;0,Schoonmaaknormen!BU258*calculatietarief,"")</f>
        <v/>
      </c>
      <c r="F258" s="192" t="str">
        <f ca="1">IF(Ruimtestaat!F258&gt;0,Schoonmaaknormen!BV258*calculatietarief,"")</f>
        <v/>
      </c>
      <c r="G258" s="192" t="str">
        <f ca="1">IF(Ruimtestaat!G258&gt;0,Schoonmaaknormen!BW258*calculatietarief,"")</f>
        <v/>
      </c>
      <c r="H258" s="192" t="str">
        <f ca="1">IF(Ruimtestaat!H258&gt;0,Schoonmaaknormen!BX258*calculatietarief,"")</f>
        <v/>
      </c>
      <c r="I258" s="193" t="str">
        <f ca="1">IF(Ruimtestaat!I258&gt;0,Schoonmaaknormen!BY258*calculatietarief,"")</f>
        <v/>
      </c>
      <c r="J258" s="193" t="str">
        <f ca="1">IF(Ruimtestaat!J258&gt;0,Schoonmaaknormen!BZ258*calculatietarief,"")</f>
        <v/>
      </c>
      <c r="K258" s="561" t="str">
        <f>IF(Ruimtestaat!K257&gt;0,Schoonmaaknormen!CA258*calculatietarief,"")</f>
        <v/>
      </c>
      <c r="L258" s="553"/>
      <c r="M258" s="172" t="b">
        <f>IF(_xlfn.XLOOKUP(Schoonmaaknormen!BB258,Tabel2[Locatiecode],Tabel2[Type locatie],"",0)="vaccin",TRUE,FALSE)</f>
        <v>0</v>
      </c>
    </row>
    <row r="259" spans="1:13" ht="0.2" customHeight="1" x14ac:dyDescent="0.2">
      <c r="A259" s="172">
        <f ca="1">Ruimtestaat!A259</f>
        <v>2</v>
      </c>
      <c r="B259" s="578"/>
      <c r="C259" s="10">
        <v>52</v>
      </c>
      <c r="D259" s="194" t="str">
        <f ca="1">IF(Ruimtestaat!D259&gt;0,Schoonmaaknormen!BT259*calculatietarief,"")</f>
        <v/>
      </c>
      <c r="E259" s="192" t="str">
        <f ca="1">IF(Ruimtestaat!E259&gt;0,Schoonmaaknormen!BU259*calculatietarief,"")</f>
        <v/>
      </c>
      <c r="F259" s="192" t="str">
        <f ca="1">IF(Ruimtestaat!F259&gt;0,Schoonmaaknormen!BV259*calculatietarief,"")</f>
        <v/>
      </c>
      <c r="G259" s="192" t="str">
        <f ca="1">IF(Ruimtestaat!G259&gt;0,Schoonmaaknormen!BW259*calculatietarief,"")</f>
        <v/>
      </c>
      <c r="H259" s="192" t="str">
        <f ca="1">IF(Ruimtestaat!H259&gt;0,Schoonmaaknormen!BX259*calculatietarief,"")</f>
        <v/>
      </c>
      <c r="I259" s="193" t="str">
        <f ca="1">IF(Ruimtestaat!I259&gt;0,Schoonmaaknormen!BY259*calculatietarief,"")</f>
        <v/>
      </c>
      <c r="J259" s="193" t="str">
        <f ca="1">IF(Ruimtestaat!J259&gt;0,Schoonmaaknormen!BZ259*calculatietarief,"")</f>
        <v/>
      </c>
      <c r="K259" s="561"/>
      <c r="L259" s="553"/>
      <c r="M259" s="172" t="b">
        <f>IF(_xlfn.XLOOKUP(Schoonmaaknormen!BB259,Tabel2[Locatiecode],Tabel2[Type locatie],"",0)="vaccin",TRUE,FALSE)</f>
        <v>0</v>
      </c>
    </row>
    <row r="260" spans="1:13" ht="0.2" customHeight="1" x14ac:dyDescent="0.2">
      <c r="A260" s="172">
        <f ca="1">Ruimtestaat!A260</f>
        <v>2</v>
      </c>
      <c r="B260" s="579"/>
      <c r="C260" s="10">
        <v>4</v>
      </c>
      <c r="D260" s="194" t="str">
        <f ca="1">IF(Ruimtestaat!D260&gt;0,Schoonmaaknormen!BT260*calculatietarief,"")</f>
        <v/>
      </c>
      <c r="E260" s="192" t="str">
        <f ca="1">IF(Ruimtestaat!E260&gt;0,Schoonmaaknormen!BU260*calculatietarief,"")</f>
        <v/>
      </c>
      <c r="F260" s="192" t="str">
        <f ca="1">IF(Ruimtestaat!F260&gt;0,Schoonmaaknormen!BV260*calculatietarief,"")</f>
        <v/>
      </c>
      <c r="G260" s="192" t="str">
        <f ca="1">IF(Ruimtestaat!G260&gt;0,Schoonmaaknormen!BW260*calculatietarief,"")</f>
        <v/>
      </c>
      <c r="H260" s="192" t="str">
        <f ca="1">IF(Ruimtestaat!H260&gt;0,Schoonmaaknormen!BX260*calculatietarief,"")</f>
        <v/>
      </c>
      <c r="I260" s="193" t="str">
        <f ca="1">IF(Ruimtestaat!I260&gt;0,Schoonmaaknormen!BY260*calculatietarief,"")</f>
        <v/>
      </c>
      <c r="J260" s="193" t="str">
        <f ca="1">IF(Ruimtestaat!J260&gt;0,Schoonmaaknormen!BZ260*calculatietarief,"")</f>
        <v/>
      </c>
      <c r="K260" s="562" t="str">
        <f>IF(Ruimtestaat!K260&gt;0,Schoonmaaknormen!CA260*calculatietarief,"")</f>
        <v/>
      </c>
      <c r="L260" s="554"/>
      <c r="M260" s="172" t="b">
        <f>IF(_xlfn.XLOOKUP(Schoonmaaknormen!BB260,Tabel2[Locatiecode],Tabel2[Type locatie],"",0)="vaccin",TRUE,FALSE)</f>
        <v>0</v>
      </c>
    </row>
    <row r="261" spans="1:13" ht="0.2" customHeight="1" x14ac:dyDescent="0.2">
      <c r="A261" s="172">
        <f ca="1">Ruimtestaat!A261</f>
        <v>2</v>
      </c>
      <c r="B261" s="577" t="str">
        <f>Schoonmaaknormen!BB261</f>
        <v/>
      </c>
      <c r="C261" s="10">
        <v>255</v>
      </c>
      <c r="D261" s="190" t="str">
        <f ca="1">IF(Ruimtestaat!D261&gt;0,Schoonmaaknormen!BT261*calculatietarief,"")</f>
        <v/>
      </c>
      <c r="E261" s="191" t="str">
        <f ca="1">IF(Ruimtestaat!E261&gt;0,Schoonmaaknormen!BU261*calculatietarief,"")</f>
        <v/>
      </c>
      <c r="F261" s="192" t="str">
        <f ca="1">IF(Ruimtestaat!F261&gt;0,Schoonmaaknormen!BV261*calculatietarief,"")</f>
        <v/>
      </c>
      <c r="G261" s="191" t="str">
        <f ca="1">IF(Ruimtestaat!G261&gt;0,Schoonmaaknormen!BW261*calculatietarief,"")</f>
        <v/>
      </c>
      <c r="H261" s="191" t="str">
        <f ca="1">IF(Ruimtestaat!H261&gt;0,Schoonmaaknormen!BX261*calculatietarief,"")</f>
        <v/>
      </c>
      <c r="I261" s="193" t="str">
        <f ca="1">IF(Ruimtestaat!I261&gt;0,Schoonmaaknormen!BY261*calculatietarief,"")</f>
        <v/>
      </c>
      <c r="J261" s="193" t="str">
        <f ca="1">IF(Ruimtestaat!J261&gt;0,Schoonmaaknormen!BZ261*calculatietarief,"")</f>
        <v/>
      </c>
      <c r="K261" s="559" t="str">
        <f>IF(Schoonmaaknormen!K261&gt;0,Schoonmaaknormen!CA261*calculatietarief,"")</f>
        <v/>
      </c>
      <c r="L261" s="551">
        <f ca="1">SUM(D261:K266)</f>
        <v>0</v>
      </c>
      <c r="M261" s="172" t="b">
        <f>IF(_xlfn.XLOOKUP(Schoonmaaknormen!BB261,Tabel2[Locatiecode],Tabel2[Type locatie],"",0)="vaccin",TRUE,FALSE)</f>
        <v>0</v>
      </c>
    </row>
    <row r="262" spans="1:13" ht="0.2" customHeight="1" x14ac:dyDescent="0.2">
      <c r="A262" s="172">
        <f ca="1">Ruimtestaat!A262</f>
        <v>2</v>
      </c>
      <c r="B262" s="578"/>
      <c r="C262" s="10">
        <v>204</v>
      </c>
      <c r="D262" s="190" t="str">
        <f ca="1">IF(Ruimtestaat!D262&gt;0,Schoonmaaknormen!BT262*calculatietarief,"")</f>
        <v/>
      </c>
      <c r="E262" s="191" t="str">
        <f ca="1">IF(Ruimtestaat!E262&gt;0,Schoonmaaknormen!BU262*calculatietarief,"")</f>
        <v/>
      </c>
      <c r="F262" s="192" t="str">
        <f ca="1">IF(Ruimtestaat!F262&gt;0,Schoonmaaknormen!BV262*calculatietarief,"")</f>
        <v/>
      </c>
      <c r="G262" s="191" t="str">
        <f ca="1">IF(Ruimtestaat!G262&gt;0,Schoonmaaknormen!BW262*calculatietarief,"")</f>
        <v/>
      </c>
      <c r="H262" s="191" t="str">
        <f ca="1">IF(Ruimtestaat!H262&gt;0,Schoonmaaknormen!BX262*calculatietarief,"")</f>
        <v/>
      </c>
      <c r="I262" s="193" t="str">
        <f ca="1">IF(Ruimtestaat!I262&gt;0,Schoonmaaknormen!BY262*calculatietarief,"")</f>
        <v/>
      </c>
      <c r="J262" s="193" t="str">
        <f ca="1">IF(Ruimtestaat!J262&gt;0,Schoonmaaknormen!BZ262*calculatietarief,"")</f>
        <v/>
      </c>
      <c r="K262" s="560"/>
      <c r="L262" s="552"/>
      <c r="M262" s="172" t="b">
        <f>IF(_xlfn.XLOOKUP(Schoonmaaknormen!BB262,Tabel2[Locatiecode],Tabel2[Type locatie],"",0)="vaccin",TRUE,FALSE)</f>
        <v>0</v>
      </c>
    </row>
    <row r="263" spans="1:13" ht="0.2" customHeight="1" x14ac:dyDescent="0.2">
      <c r="A263" s="172">
        <f ca="1">Ruimtestaat!A263</f>
        <v>2</v>
      </c>
      <c r="B263" s="578"/>
      <c r="C263" s="10">
        <v>156</v>
      </c>
      <c r="D263" s="190" t="str">
        <f ca="1">IF(Ruimtestaat!D263&gt;0,Schoonmaaknormen!BT263*calculatietarief,"")</f>
        <v/>
      </c>
      <c r="E263" s="191" t="str">
        <f ca="1">IF(Ruimtestaat!E263&gt;0,Schoonmaaknormen!BU263*calculatietarief,"")</f>
        <v/>
      </c>
      <c r="F263" s="192" t="str">
        <f ca="1">IF(Ruimtestaat!F263&gt;0,Schoonmaaknormen!BV263*calculatietarief,"")</f>
        <v/>
      </c>
      <c r="G263" s="191" t="str">
        <f ca="1">IF(Ruimtestaat!G263&gt;0,Schoonmaaknormen!BW263*calculatietarief,"")</f>
        <v/>
      </c>
      <c r="H263" s="191" t="str">
        <f ca="1">IF(Ruimtestaat!H263&gt;0,Schoonmaaknormen!BX263*calculatietarief,"")</f>
        <v/>
      </c>
      <c r="I263" s="193" t="str">
        <f ca="1">IF(Ruimtestaat!I263&gt;0,Schoonmaaknormen!BY263*calculatietarief,"")</f>
        <v/>
      </c>
      <c r="J263" s="193" t="str">
        <f ca="1">IF(Ruimtestaat!J263&gt;0,Schoonmaaknormen!BZ263*calculatietarief,"")</f>
        <v/>
      </c>
      <c r="K263" s="560"/>
      <c r="L263" s="552"/>
      <c r="M263" s="172" t="b">
        <f>IF(_xlfn.XLOOKUP(Schoonmaaknormen!BB263,Tabel2[Locatiecode],Tabel2[Type locatie],"",0)="vaccin",TRUE,FALSE)</f>
        <v>0</v>
      </c>
    </row>
    <row r="264" spans="1:13" ht="0.2" customHeight="1" x14ac:dyDescent="0.2">
      <c r="A264" s="172">
        <f ca="1">Ruimtestaat!A264</f>
        <v>2</v>
      </c>
      <c r="B264" s="578"/>
      <c r="C264" s="10">
        <v>104</v>
      </c>
      <c r="D264" s="194" t="str">
        <f ca="1">IF(Ruimtestaat!D264&gt;0,Schoonmaaknormen!BT264*calculatietarief,"")</f>
        <v/>
      </c>
      <c r="E264" s="192" t="str">
        <f ca="1">IF(Ruimtestaat!E264&gt;0,Schoonmaaknormen!BU264*calculatietarief,"")</f>
        <v/>
      </c>
      <c r="F264" s="192" t="str">
        <f ca="1">IF(Ruimtestaat!F264&gt;0,Schoonmaaknormen!BV264*calculatietarief,"")</f>
        <v/>
      </c>
      <c r="G264" s="192" t="str">
        <f ca="1">IF(Ruimtestaat!G264&gt;0,Schoonmaaknormen!BW264*calculatietarief,"")</f>
        <v/>
      </c>
      <c r="H264" s="192" t="str">
        <f ca="1">IF(Ruimtestaat!H264&gt;0,Schoonmaaknormen!BX264*calculatietarief,"")</f>
        <v/>
      </c>
      <c r="I264" s="193" t="str">
        <f ca="1">IF(Ruimtestaat!I264&gt;0,Schoonmaaknormen!BY264*calculatietarief,"")</f>
        <v/>
      </c>
      <c r="J264" s="193" t="str">
        <f ca="1">IF(Ruimtestaat!J264&gt;0,Schoonmaaknormen!BZ264*calculatietarief,"")</f>
        <v/>
      </c>
      <c r="K264" s="561" t="str">
        <f>IF(Ruimtestaat!K263&gt;0,Schoonmaaknormen!CA264*calculatietarief,"")</f>
        <v/>
      </c>
      <c r="L264" s="553"/>
      <c r="M264" s="172" t="b">
        <f>IF(_xlfn.XLOOKUP(Schoonmaaknormen!BB264,Tabel2[Locatiecode],Tabel2[Type locatie],"",0)="vaccin",TRUE,FALSE)</f>
        <v>0</v>
      </c>
    </row>
    <row r="265" spans="1:13" ht="0.2" customHeight="1" x14ac:dyDescent="0.2">
      <c r="A265" s="172">
        <f ca="1">Ruimtestaat!A265</f>
        <v>2</v>
      </c>
      <c r="B265" s="578"/>
      <c r="C265" s="10">
        <v>52</v>
      </c>
      <c r="D265" s="194" t="str">
        <f ca="1">IF(Ruimtestaat!D265&gt;0,Schoonmaaknormen!BT265*calculatietarief,"")</f>
        <v/>
      </c>
      <c r="E265" s="192" t="str">
        <f ca="1">IF(Ruimtestaat!E265&gt;0,Schoonmaaknormen!BU265*calculatietarief,"")</f>
        <v/>
      </c>
      <c r="F265" s="192" t="str">
        <f ca="1">IF(Ruimtestaat!F265&gt;0,Schoonmaaknormen!BV265*calculatietarief,"")</f>
        <v/>
      </c>
      <c r="G265" s="192" t="str">
        <f ca="1">IF(Ruimtestaat!G265&gt;0,Schoonmaaknormen!BW265*calculatietarief,"")</f>
        <v/>
      </c>
      <c r="H265" s="192" t="str">
        <f ca="1">IF(Ruimtestaat!H265&gt;0,Schoonmaaknormen!BX265*calculatietarief,"")</f>
        <v/>
      </c>
      <c r="I265" s="193" t="str">
        <f ca="1">IF(Ruimtestaat!I265&gt;0,Schoonmaaknormen!BY265*calculatietarief,"")</f>
        <v/>
      </c>
      <c r="J265" s="193" t="str">
        <f ca="1">IF(Ruimtestaat!J265&gt;0,Schoonmaaknormen!BZ265*calculatietarief,"")</f>
        <v/>
      </c>
      <c r="K265" s="561"/>
      <c r="L265" s="553"/>
      <c r="M265" s="172" t="b">
        <f>IF(_xlfn.XLOOKUP(Schoonmaaknormen!BB265,Tabel2[Locatiecode],Tabel2[Type locatie],"",0)="vaccin",TRUE,FALSE)</f>
        <v>0</v>
      </c>
    </row>
    <row r="266" spans="1:13" ht="0.2" customHeight="1" x14ac:dyDescent="0.2">
      <c r="A266" s="172">
        <f ca="1">Ruimtestaat!A266</f>
        <v>2</v>
      </c>
      <c r="B266" s="579"/>
      <c r="C266" s="10">
        <v>4</v>
      </c>
      <c r="D266" s="194" t="str">
        <f ca="1">IF(Ruimtestaat!D266&gt;0,Schoonmaaknormen!BT266*calculatietarief,"")</f>
        <v/>
      </c>
      <c r="E266" s="192" t="str">
        <f ca="1">IF(Ruimtestaat!E266&gt;0,Schoonmaaknormen!BU266*calculatietarief,"")</f>
        <v/>
      </c>
      <c r="F266" s="192" t="str">
        <f ca="1">IF(Ruimtestaat!F266&gt;0,Schoonmaaknormen!BV266*calculatietarief,"")</f>
        <v/>
      </c>
      <c r="G266" s="192" t="str">
        <f ca="1">IF(Ruimtestaat!G266&gt;0,Schoonmaaknormen!BW266*calculatietarief,"")</f>
        <v/>
      </c>
      <c r="H266" s="192" t="str">
        <f ca="1">IF(Ruimtestaat!H266&gt;0,Schoonmaaknormen!BX266*calculatietarief,"")</f>
        <v/>
      </c>
      <c r="I266" s="193" t="str">
        <f ca="1">IF(Ruimtestaat!I266&gt;0,Schoonmaaknormen!BY266*calculatietarief,"")</f>
        <v/>
      </c>
      <c r="J266" s="193" t="str">
        <f ca="1">IF(Ruimtestaat!J266&gt;0,Schoonmaaknormen!BZ266*calculatietarief,"")</f>
        <v/>
      </c>
      <c r="K266" s="562" t="str">
        <f>IF(Ruimtestaat!K266&gt;0,Schoonmaaknormen!CA266*calculatietarief,"")</f>
        <v/>
      </c>
      <c r="L266" s="554"/>
      <c r="M266" s="172" t="b">
        <f>IF(_xlfn.XLOOKUP(Schoonmaaknormen!BB266,Tabel2[Locatiecode],Tabel2[Type locatie],"",0)="vaccin",TRUE,FALSE)</f>
        <v>0</v>
      </c>
    </row>
    <row r="267" spans="1:13" ht="0.2" customHeight="1" x14ac:dyDescent="0.2">
      <c r="A267" s="172">
        <f ca="1">Ruimtestaat!A267</f>
        <v>2</v>
      </c>
      <c r="B267" s="577" t="str">
        <f>Schoonmaaknormen!BB267</f>
        <v/>
      </c>
      <c r="C267" s="10">
        <v>255</v>
      </c>
      <c r="D267" s="190" t="str">
        <f ca="1">IF(Ruimtestaat!D267&gt;0,Schoonmaaknormen!BT267*calculatietarief,"")</f>
        <v/>
      </c>
      <c r="E267" s="191" t="str">
        <f ca="1">IF(Ruimtestaat!E267&gt;0,Schoonmaaknormen!BU267*calculatietarief,"")</f>
        <v/>
      </c>
      <c r="F267" s="192" t="str">
        <f ca="1">IF(Ruimtestaat!F267&gt;0,Schoonmaaknormen!BV267*calculatietarief,"")</f>
        <v/>
      </c>
      <c r="G267" s="191" t="str">
        <f ca="1">IF(Ruimtestaat!G267&gt;0,Schoonmaaknormen!BW267*calculatietarief,"")</f>
        <v/>
      </c>
      <c r="H267" s="191" t="str">
        <f ca="1">IF(Ruimtestaat!H267&gt;0,Schoonmaaknormen!BX267*calculatietarief,"")</f>
        <v/>
      </c>
      <c r="I267" s="193" t="str">
        <f ca="1">IF(Ruimtestaat!I267&gt;0,Schoonmaaknormen!BY267*calculatietarief,"")</f>
        <v/>
      </c>
      <c r="J267" s="193" t="str">
        <f ca="1">IF(Ruimtestaat!J267&gt;0,Schoonmaaknormen!BZ267*calculatietarief,"")</f>
        <v/>
      </c>
      <c r="K267" s="559" t="str">
        <f>IF(Schoonmaaknormen!K267&gt;0,Schoonmaaknormen!CA267*calculatietarief,"")</f>
        <v/>
      </c>
      <c r="L267" s="551">
        <f ca="1">SUM(D267:K272)</f>
        <v>0</v>
      </c>
      <c r="M267" s="172" t="b">
        <f>IF(_xlfn.XLOOKUP(Schoonmaaknormen!BB267,Tabel2[Locatiecode],Tabel2[Type locatie],"",0)="vaccin",TRUE,FALSE)</f>
        <v>0</v>
      </c>
    </row>
    <row r="268" spans="1:13" ht="0.2" customHeight="1" x14ac:dyDescent="0.2">
      <c r="A268" s="172">
        <f ca="1">Ruimtestaat!A268</f>
        <v>2</v>
      </c>
      <c r="B268" s="578"/>
      <c r="C268" s="10">
        <v>204</v>
      </c>
      <c r="D268" s="190" t="str">
        <f ca="1">IF(Ruimtestaat!D268&gt;0,Schoonmaaknormen!BT268*calculatietarief,"")</f>
        <v/>
      </c>
      <c r="E268" s="191" t="str">
        <f ca="1">IF(Ruimtestaat!E268&gt;0,Schoonmaaknormen!BU268*calculatietarief,"")</f>
        <v/>
      </c>
      <c r="F268" s="192" t="str">
        <f ca="1">IF(Ruimtestaat!F268&gt;0,Schoonmaaknormen!BV268*calculatietarief,"")</f>
        <v/>
      </c>
      <c r="G268" s="191" t="str">
        <f ca="1">IF(Ruimtestaat!G268&gt;0,Schoonmaaknormen!BW268*calculatietarief,"")</f>
        <v/>
      </c>
      <c r="H268" s="191" t="str">
        <f ca="1">IF(Ruimtestaat!H268&gt;0,Schoonmaaknormen!BX268*calculatietarief,"")</f>
        <v/>
      </c>
      <c r="I268" s="193" t="str">
        <f ca="1">IF(Ruimtestaat!I268&gt;0,Schoonmaaknormen!BY268*calculatietarief,"")</f>
        <v/>
      </c>
      <c r="J268" s="193" t="str">
        <f ca="1">IF(Ruimtestaat!J268&gt;0,Schoonmaaknormen!BZ268*calculatietarief,"")</f>
        <v/>
      </c>
      <c r="K268" s="560"/>
      <c r="L268" s="552"/>
      <c r="M268" s="172" t="b">
        <f>IF(_xlfn.XLOOKUP(Schoonmaaknormen!BB268,Tabel2[Locatiecode],Tabel2[Type locatie],"",0)="vaccin",TRUE,FALSE)</f>
        <v>0</v>
      </c>
    </row>
    <row r="269" spans="1:13" ht="0.2" customHeight="1" x14ac:dyDescent="0.2">
      <c r="A269" s="172">
        <f ca="1">Ruimtestaat!A269</f>
        <v>2</v>
      </c>
      <c r="B269" s="578"/>
      <c r="C269" s="10">
        <v>156</v>
      </c>
      <c r="D269" s="190" t="str">
        <f ca="1">IF(Ruimtestaat!D269&gt;0,Schoonmaaknormen!BT269*calculatietarief,"")</f>
        <v/>
      </c>
      <c r="E269" s="191" t="str">
        <f ca="1">IF(Ruimtestaat!E269&gt;0,Schoonmaaknormen!BU269*calculatietarief,"")</f>
        <v/>
      </c>
      <c r="F269" s="192" t="str">
        <f ca="1">IF(Ruimtestaat!F269&gt;0,Schoonmaaknormen!BV269*calculatietarief,"")</f>
        <v/>
      </c>
      <c r="G269" s="191" t="str">
        <f ca="1">IF(Ruimtestaat!G269&gt;0,Schoonmaaknormen!BW269*calculatietarief,"")</f>
        <v/>
      </c>
      <c r="H269" s="191" t="str">
        <f ca="1">IF(Ruimtestaat!H269&gt;0,Schoonmaaknormen!BX269*calculatietarief,"")</f>
        <v/>
      </c>
      <c r="I269" s="193" t="str">
        <f ca="1">IF(Ruimtestaat!I269&gt;0,Schoonmaaknormen!BY269*calculatietarief,"")</f>
        <v/>
      </c>
      <c r="J269" s="193" t="str">
        <f ca="1">IF(Ruimtestaat!J269&gt;0,Schoonmaaknormen!BZ269*calculatietarief,"")</f>
        <v/>
      </c>
      <c r="K269" s="560"/>
      <c r="L269" s="552"/>
      <c r="M269" s="172" t="b">
        <f>IF(_xlfn.XLOOKUP(Schoonmaaknormen!BB269,Tabel2[Locatiecode],Tabel2[Type locatie],"",0)="vaccin",TRUE,FALSE)</f>
        <v>0</v>
      </c>
    </row>
    <row r="270" spans="1:13" ht="0.2" customHeight="1" x14ac:dyDescent="0.2">
      <c r="A270" s="172">
        <f ca="1">Ruimtestaat!A270</f>
        <v>2</v>
      </c>
      <c r="B270" s="578"/>
      <c r="C270" s="10">
        <v>104</v>
      </c>
      <c r="D270" s="194" t="str">
        <f ca="1">IF(Ruimtestaat!D270&gt;0,Schoonmaaknormen!BT270*calculatietarief,"")</f>
        <v/>
      </c>
      <c r="E270" s="192" t="str">
        <f ca="1">IF(Ruimtestaat!E270&gt;0,Schoonmaaknormen!BU270*calculatietarief,"")</f>
        <v/>
      </c>
      <c r="F270" s="192" t="str">
        <f ca="1">IF(Ruimtestaat!F270&gt;0,Schoonmaaknormen!BV270*calculatietarief,"")</f>
        <v/>
      </c>
      <c r="G270" s="192" t="str">
        <f ca="1">IF(Ruimtestaat!G270&gt;0,Schoonmaaknormen!BW270*calculatietarief,"")</f>
        <v/>
      </c>
      <c r="H270" s="192" t="str">
        <f ca="1">IF(Ruimtestaat!H270&gt;0,Schoonmaaknormen!BX270*calculatietarief,"")</f>
        <v/>
      </c>
      <c r="I270" s="193" t="str">
        <f ca="1">IF(Ruimtestaat!I270&gt;0,Schoonmaaknormen!BY270*calculatietarief,"")</f>
        <v/>
      </c>
      <c r="J270" s="193" t="str">
        <f ca="1">IF(Ruimtestaat!J270&gt;0,Schoonmaaknormen!BZ270*calculatietarief,"")</f>
        <v/>
      </c>
      <c r="K270" s="561" t="str">
        <f>IF(Ruimtestaat!K269&gt;0,Schoonmaaknormen!CA270*calculatietarief,"")</f>
        <v/>
      </c>
      <c r="L270" s="553"/>
      <c r="M270" s="172" t="b">
        <f>IF(_xlfn.XLOOKUP(Schoonmaaknormen!BB270,Tabel2[Locatiecode],Tabel2[Type locatie],"",0)="vaccin",TRUE,FALSE)</f>
        <v>0</v>
      </c>
    </row>
    <row r="271" spans="1:13" ht="0.2" customHeight="1" x14ac:dyDescent="0.2">
      <c r="A271" s="172">
        <f ca="1">Ruimtestaat!A271</f>
        <v>2</v>
      </c>
      <c r="B271" s="578"/>
      <c r="C271" s="10">
        <v>52</v>
      </c>
      <c r="D271" s="194" t="str">
        <f ca="1">IF(Ruimtestaat!D271&gt;0,Schoonmaaknormen!BT271*calculatietarief,"")</f>
        <v/>
      </c>
      <c r="E271" s="192" t="str">
        <f ca="1">IF(Ruimtestaat!E271&gt;0,Schoonmaaknormen!BU271*calculatietarief,"")</f>
        <v/>
      </c>
      <c r="F271" s="192" t="str">
        <f ca="1">IF(Ruimtestaat!F271&gt;0,Schoonmaaknormen!BV271*calculatietarief,"")</f>
        <v/>
      </c>
      <c r="G271" s="192" t="str">
        <f ca="1">IF(Ruimtestaat!G271&gt;0,Schoonmaaknormen!BW271*calculatietarief,"")</f>
        <v/>
      </c>
      <c r="H271" s="192" t="str">
        <f ca="1">IF(Ruimtestaat!H271&gt;0,Schoonmaaknormen!BX271*calculatietarief,"")</f>
        <v/>
      </c>
      <c r="I271" s="193" t="str">
        <f ca="1">IF(Ruimtestaat!I271&gt;0,Schoonmaaknormen!BY271*calculatietarief,"")</f>
        <v/>
      </c>
      <c r="J271" s="193" t="str">
        <f ca="1">IF(Ruimtestaat!J271&gt;0,Schoonmaaknormen!BZ271*calculatietarief,"")</f>
        <v/>
      </c>
      <c r="K271" s="561"/>
      <c r="L271" s="553"/>
      <c r="M271" s="172" t="b">
        <f>IF(_xlfn.XLOOKUP(Schoonmaaknormen!BB271,Tabel2[Locatiecode],Tabel2[Type locatie],"",0)="vaccin",TRUE,FALSE)</f>
        <v>0</v>
      </c>
    </row>
    <row r="272" spans="1:13" ht="0.2" customHeight="1" x14ac:dyDescent="0.2">
      <c r="A272" s="172">
        <f ca="1">Ruimtestaat!A272</f>
        <v>2</v>
      </c>
      <c r="B272" s="579"/>
      <c r="C272" s="10">
        <v>4</v>
      </c>
      <c r="D272" s="194" t="str">
        <f ca="1">IF(Ruimtestaat!D272&gt;0,Schoonmaaknormen!BT272*calculatietarief,"")</f>
        <v/>
      </c>
      <c r="E272" s="192" t="str">
        <f ca="1">IF(Ruimtestaat!E272&gt;0,Schoonmaaknormen!BU272*calculatietarief,"")</f>
        <v/>
      </c>
      <c r="F272" s="192" t="str">
        <f ca="1">IF(Ruimtestaat!F272&gt;0,Schoonmaaknormen!BV272*calculatietarief,"")</f>
        <v/>
      </c>
      <c r="G272" s="192" t="str">
        <f ca="1">IF(Ruimtestaat!G272&gt;0,Schoonmaaknormen!BW272*calculatietarief,"")</f>
        <v/>
      </c>
      <c r="H272" s="192" t="str">
        <f ca="1">IF(Ruimtestaat!H272&gt;0,Schoonmaaknormen!BX272*calculatietarief,"")</f>
        <v/>
      </c>
      <c r="I272" s="193" t="str">
        <f ca="1">IF(Ruimtestaat!I272&gt;0,Schoonmaaknormen!BY272*calculatietarief,"")</f>
        <v/>
      </c>
      <c r="J272" s="193" t="str">
        <f ca="1">IF(Ruimtestaat!J272&gt;0,Schoonmaaknormen!BZ272*calculatietarief,"")</f>
        <v/>
      </c>
      <c r="K272" s="562" t="str">
        <f>IF(Ruimtestaat!K272&gt;0,Schoonmaaknormen!CA272*calculatietarief,"")</f>
        <v/>
      </c>
      <c r="L272" s="554"/>
      <c r="M272" s="172" t="b">
        <f>IF(_xlfn.XLOOKUP(Schoonmaaknormen!BB272,Tabel2[Locatiecode],Tabel2[Type locatie],"",0)="vaccin",TRUE,FALSE)</f>
        <v>0</v>
      </c>
    </row>
    <row r="273" spans="1:13" ht="0.2" customHeight="1" x14ac:dyDescent="0.2">
      <c r="A273" s="172">
        <f ca="1">Ruimtestaat!A273</f>
        <v>2</v>
      </c>
      <c r="B273" s="577" t="str">
        <f>Schoonmaaknormen!BB273</f>
        <v/>
      </c>
      <c r="C273" s="10">
        <v>255</v>
      </c>
      <c r="D273" s="190" t="str">
        <f ca="1">IF(Ruimtestaat!D273&gt;0,Schoonmaaknormen!BT273*calculatietarief,"")</f>
        <v/>
      </c>
      <c r="E273" s="191" t="str">
        <f ca="1">IF(Ruimtestaat!E273&gt;0,Schoonmaaknormen!BU273*calculatietarief,"")</f>
        <v/>
      </c>
      <c r="F273" s="192" t="str">
        <f ca="1">IF(Ruimtestaat!F273&gt;0,Schoonmaaknormen!BV273*calculatietarief,"")</f>
        <v/>
      </c>
      <c r="G273" s="191" t="str">
        <f ca="1">IF(Ruimtestaat!G273&gt;0,Schoonmaaknormen!BW273*calculatietarief,"")</f>
        <v/>
      </c>
      <c r="H273" s="191" t="str">
        <f ca="1">IF(Ruimtestaat!H273&gt;0,Schoonmaaknormen!BX273*calculatietarief,"")</f>
        <v/>
      </c>
      <c r="I273" s="193" t="str">
        <f ca="1">IF(Ruimtestaat!I273&gt;0,Schoonmaaknormen!BY273*calculatietarief,"")</f>
        <v/>
      </c>
      <c r="J273" s="193" t="str">
        <f ca="1">IF(Ruimtestaat!J273&gt;0,Schoonmaaknormen!BZ273*calculatietarief,"")</f>
        <v/>
      </c>
      <c r="K273" s="559" t="str">
        <f>IF(Schoonmaaknormen!K273&gt;0,Schoonmaaknormen!CA273*calculatietarief,"")</f>
        <v/>
      </c>
      <c r="L273" s="551">
        <f ca="1">SUM(D273:K278)</f>
        <v>0</v>
      </c>
      <c r="M273" s="172" t="b">
        <f>IF(_xlfn.XLOOKUP(Schoonmaaknormen!BB273,Tabel2[Locatiecode],Tabel2[Type locatie],"",0)="vaccin",TRUE,FALSE)</f>
        <v>0</v>
      </c>
    </row>
    <row r="274" spans="1:13" ht="0.2" customHeight="1" x14ac:dyDescent="0.2">
      <c r="A274" s="172">
        <f ca="1">Ruimtestaat!A274</f>
        <v>2</v>
      </c>
      <c r="B274" s="578"/>
      <c r="C274" s="10">
        <v>204</v>
      </c>
      <c r="D274" s="190" t="str">
        <f ca="1">IF(Ruimtestaat!D274&gt;0,Schoonmaaknormen!BT274*calculatietarief,"")</f>
        <v/>
      </c>
      <c r="E274" s="191" t="str">
        <f ca="1">IF(Ruimtestaat!E274&gt;0,Schoonmaaknormen!BU274*calculatietarief,"")</f>
        <v/>
      </c>
      <c r="F274" s="192" t="str">
        <f ca="1">IF(Ruimtestaat!F274&gt;0,Schoonmaaknormen!BV274*calculatietarief,"")</f>
        <v/>
      </c>
      <c r="G274" s="191" t="str">
        <f ca="1">IF(Ruimtestaat!G274&gt;0,Schoonmaaknormen!BW274*calculatietarief,"")</f>
        <v/>
      </c>
      <c r="H274" s="191" t="str">
        <f ca="1">IF(Ruimtestaat!H274&gt;0,Schoonmaaknormen!BX274*calculatietarief,"")</f>
        <v/>
      </c>
      <c r="I274" s="193" t="str">
        <f ca="1">IF(Ruimtestaat!I274&gt;0,Schoonmaaknormen!BY274*calculatietarief,"")</f>
        <v/>
      </c>
      <c r="J274" s="193" t="str">
        <f ca="1">IF(Ruimtestaat!J274&gt;0,Schoonmaaknormen!BZ274*calculatietarief,"")</f>
        <v/>
      </c>
      <c r="K274" s="560"/>
      <c r="L274" s="552"/>
      <c r="M274" s="172" t="b">
        <f>IF(_xlfn.XLOOKUP(Schoonmaaknormen!BB274,Tabel2[Locatiecode],Tabel2[Type locatie],"",0)="vaccin",TRUE,FALSE)</f>
        <v>0</v>
      </c>
    </row>
    <row r="275" spans="1:13" ht="0.2" customHeight="1" x14ac:dyDescent="0.2">
      <c r="A275" s="172">
        <f ca="1">Ruimtestaat!A275</f>
        <v>2</v>
      </c>
      <c r="B275" s="578"/>
      <c r="C275" s="10">
        <v>156</v>
      </c>
      <c r="D275" s="190" t="str">
        <f ca="1">IF(Ruimtestaat!D275&gt;0,Schoonmaaknormen!BT275*calculatietarief,"")</f>
        <v/>
      </c>
      <c r="E275" s="191" t="str">
        <f ca="1">IF(Ruimtestaat!E275&gt;0,Schoonmaaknormen!BU275*calculatietarief,"")</f>
        <v/>
      </c>
      <c r="F275" s="192" t="str">
        <f ca="1">IF(Ruimtestaat!F275&gt;0,Schoonmaaknormen!BV275*calculatietarief,"")</f>
        <v/>
      </c>
      <c r="G275" s="191" t="str">
        <f ca="1">IF(Ruimtestaat!G275&gt;0,Schoonmaaknormen!BW275*calculatietarief,"")</f>
        <v/>
      </c>
      <c r="H275" s="191" t="str">
        <f ca="1">IF(Ruimtestaat!H275&gt;0,Schoonmaaknormen!BX275*calculatietarief,"")</f>
        <v/>
      </c>
      <c r="I275" s="193" t="str">
        <f ca="1">IF(Ruimtestaat!I275&gt;0,Schoonmaaknormen!BY275*calculatietarief,"")</f>
        <v/>
      </c>
      <c r="J275" s="193" t="str">
        <f ca="1">IF(Ruimtestaat!J275&gt;0,Schoonmaaknormen!BZ275*calculatietarief,"")</f>
        <v/>
      </c>
      <c r="K275" s="560"/>
      <c r="L275" s="552"/>
      <c r="M275" s="172" t="b">
        <f>IF(_xlfn.XLOOKUP(Schoonmaaknormen!BB275,Tabel2[Locatiecode],Tabel2[Type locatie],"",0)="vaccin",TRUE,FALSE)</f>
        <v>0</v>
      </c>
    </row>
    <row r="276" spans="1:13" ht="0.2" customHeight="1" x14ac:dyDescent="0.2">
      <c r="A276" s="172">
        <f ca="1">Ruimtestaat!A276</f>
        <v>2</v>
      </c>
      <c r="B276" s="578"/>
      <c r="C276" s="10">
        <v>104</v>
      </c>
      <c r="D276" s="194" t="str">
        <f ca="1">IF(Ruimtestaat!D276&gt;0,Schoonmaaknormen!BT276*calculatietarief,"")</f>
        <v/>
      </c>
      <c r="E276" s="192" t="str">
        <f ca="1">IF(Ruimtestaat!E276&gt;0,Schoonmaaknormen!BU276*calculatietarief,"")</f>
        <v/>
      </c>
      <c r="F276" s="192" t="str">
        <f ca="1">IF(Ruimtestaat!F276&gt;0,Schoonmaaknormen!BV276*calculatietarief,"")</f>
        <v/>
      </c>
      <c r="G276" s="192" t="str">
        <f ca="1">IF(Ruimtestaat!G276&gt;0,Schoonmaaknormen!BW276*calculatietarief,"")</f>
        <v/>
      </c>
      <c r="H276" s="192" t="str">
        <f ca="1">IF(Ruimtestaat!H276&gt;0,Schoonmaaknormen!BX276*calculatietarief,"")</f>
        <v/>
      </c>
      <c r="I276" s="193" t="str">
        <f ca="1">IF(Ruimtestaat!I276&gt;0,Schoonmaaknormen!BY276*calculatietarief,"")</f>
        <v/>
      </c>
      <c r="J276" s="193" t="str">
        <f ca="1">IF(Ruimtestaat!J276&gt;0,Schoonmaaknormen!BZ276*calculatietarief,"")</f>
        <v/>
      </c>
      <c r="K276" s="561" t="str">
        <f>IF(Ruimtestaat!K275&gt;0,Schoonmaaknormen!CA276*calculatietarief,"")</f>
        <v/>
      </c>
      <c r="L276" s="553"/>
      <c r="M276" s="172" t="b">
        <f>IF(_xlfn.XLOOKUP(Schoonmaaknormen!BB276,Tabel2[Locatiecode],Tabel2[Type locatie],"",0)="vaccin",TRUE,FALSE)</f>
        <v>0</v>
      </c>
    </row>
    <row r="277" spans="1:13" ht="0.2" customHeight="1" x14ac:dyDescent="0.2">
      <c r="A277" s="172">
        <f ca="1">Ruimtestaat!A277</f>
        <v>2</v>
      </c>
      <c r="B277" s="578"/>
      <c r="C277" s="10">
        <v>52</v>
      </c>
      <c r="D277" s="194" t="str">
        <f ca="1">IF(Ruimtestaat!D277&gt;0,Schoonmaaknormen!BT277*calculatietarief,"")</f>
        <v/>
      </c>
      <c r="E277" s="192" t="str">
        <f ca="1">IF(Ruimtestaat!E277&gt;0,Schoonmaaknormen!BU277*calculatietarief,"")</f>
        <v/>
      </c>
      <c r="F277" s="192" t="str">
        <f ca="1">IF(Ruimtestaat!F277&gt;0,Schoonmaaknormen!BV277*calculatietarief,"")</f>
        <v/>
      </c>
      <c r="G277" s="192" t="str">
        <f ca="1">IF(Ruimtestaat!G277&gt;0,Schoonmaaknormen!BW277*calculatietarief,"")</f>
        <v/>
      </c>
      <c r="H277" s="192" t="str">
        <f ca="1">IF(Ruimtestaat!H277&gt;0,Schoonmaaknormen!BX277*calculatietarief,"")</f>
        <v/>
      </c>
      <c r="I277" s="193" t="str">
        <f ca="1">IF(Ruimtestaat!I277&gt;0,Schoonmaaknormen!BY277*calculatietarief,"")</f>
        <v/>
      </c>
      <c r="J277" s="193" t="str">
        <f ca="1">IF(Ruimtestaat!J277&gt;0,Schoonmaaknormen!BZ277*calculatietarief,"")</f>
        <v/>
      </c>
      <c r="K277" s="561"/>
      <c r="L277" s="553"/>
      <c r="M277" s="172" t="b">
        <f>IF(_xlfn.XLOOKUP(Schoonmaaknormen!BB277,Tabel2[Locatiecode],Tabel2[Type locatie],"",0)="vaccin",TRUE,FALSE)</f>
        <v>0</v>
      </c>
    </row>
    <row r="278" spans="1:13" ht="0.2" customHeight="1" x14ac:dyDescent="0.2">
      <c r="A278" s="172">
        <f ca="1">Ruimtestaat!A278</f>
        <v>2</v>
      </c>
      <c r="B278" s="579"/>
      <c r="C278" s="10">
        <v>4</v>
      </c>
      <c r="D278" s="194" t="str">
        <f ca="1">IF(Ruimtestaat!D278&gt;0,Schoonmaaknormen!BT278*calculatietarief,"")</f>
        <v/>
      </c>
      <c r="E278" s="192" t="str">
        <f ca="1">IF(Ruimtestaat!E278&gt;0,Schoonmaaknormen!BU278*calculatietarief,"")</f>
        <v/>
      </c>
      <c r="F278" s="192" t="str">
        <f ca="1">IF(Ruimtestaat!F278&gt;0,Schoonmaaknormen!BV278*calculatietarief,"")</f>
        <v/>
      </c>
      <c r="G278" s="192" t="str">
        <f ca="1">IF(Ruimtestaat!G278&gt;0,Schoonmaaknormen!BW278*calculatietarief,"")</f>
        <v/>
      </c>
      <c r="H278" s="192" t="str">
        <f ca="1">IF(Ruimtestaat!H278&gt;0,Schoonmaaknormen!BX278*calculatietarief,"")</f>
        <v/>
      </c>
      <c r="I278" s="193" t="str">
        <f ca="1">IF(Ruimtestaat!I278&gt;0,Schoonmaaknormen!BY278*calculatietarief,"")</f>
        <v/>
      </c>
      <c r="J278" s="193" t="str">
        <f ca="1">IF(Ruimtestaat!J278&gt;0,Schoonmaaknormen!BZ278*calculatietarief,"")</f>
        <v/>
      </c>
      <c r="K278" s="562" t="str">
        <f>IF(Ruimtestaat!K278&gt;0,Schoonmaaknormen!CA278*calculatietarief,"")</f>
        <v/>
      </c>
      <c r="L278" s="554"/>
      <c r="M278" s="172" t="b">
        <f>IF(_xlfn.XLOOKUP(Schoonmaaknormen!BB278,Tabel2[Locatiecode],Tabel2[Type locatie],"",0)="vaccin",TRUE,FALSE)</f>
        <v>0</v>
      </c>
    </row>
    <row r="279" spans="1:13" ht="0.2" customHeight="1" x14ac:dyDescent="0.2">
      <c r="A279" s="172">
        <f ca="1">Ruimtestaat!A279</f>
        <v>2</v>
      </c>
      <c r="B279" s="577" t="str">
        <f>Schoonmaaknormen!BB279</f>
        <v/>
      </c>
      <c r="C279" s="10">
        <v>255</v>
      </c>
      <c r="D279" s="190" t="str">
        <f ca="1">IF(Ruimtestaat!D279&gt;0,Schoonmaaknormen!BT279*calculatietarief,"")</f>
        <v/>
      </c>
      <c r="E279" s="191" t="str">
        <f ca="1">IF(Ruimtestaat!E279&gt;0,Schoonmaaknormen!BU279*calculatietarief,"")</f>
        <v/>
      </c>
      <c r="F279" s="192" t="str">
        <f ca="1">IF(Ruimtestaat!F279&gt;0,Schoonmaaknormen!BV279*calculatietarief,"")</f>
        <v/>
      </c>
      <c r="G279" s="191" t="str">
        <f ca="1">IF(Ruimtestaat!G279&gt;0,Schoonmaaknormen!BW279*calculatietarief,"")</f>
        <v/>
      </c>
      <c r="H279" s="191" t="str">
        <f ca="1">IF(Ruimtestaat!H279&gt;0,Schoonmaaknormen!BX279*calculatietarief,"")</f>
        <v/>
      </c>
      <c r="I279" s="193" t="str">
        <f ca="1">IF(Ruimtestaat!I279&gt;0,Schoonmaaknormen!BY279*calculatietarief,"")</f>
        <v/>
      </c>
      <c r="J279" s="193" t="str">
        <f ca="1">IF(Ruimtestaat!J279&gt;0,Schoonmaaknormen!BZ279*calculatietarief,"")</f>
        <v/>
      </c>
      <c r="K279" s="559" t="str">
        <f>IF(Schoonmaaknormen!K279&gt;0,Schoonmaaknormen!CA279*calculatietarief,"")</f>
        <v/>
      </c>
      <c r="L279" s="551">
        <f ca="1">SUM(D279:K284)</f>
        <v>0</v>
      </c>
      <c r="M279" s="172" t="b">
        <f>IF(_xlfn.XLOOKUP(Schoonmaaknormen!BB279,Tabel2[Locatiecode],Tabel2[Type locatie],"",0)="vaccin",TRUE,FALSE)</f>
        <v>0</v>
      </c>
    </row>
    <row r="280" spans="1:13" ht="0.2" customHeight="1" x14ac:dyDescent="0.2">
      <c r="A280" s="172">
        <f ca="1">Ruimtestaat!A280</f>
        <v>2</v>
      </c>
      <c r="B280" s="578"/>
      <c r="C280" s="10">
        <v>204</v>
      </c>
      <c r="D280" s="190" t="str">
        <f ca="1">IF(Ruimtestaat!D280&gt;0,Schoonmaaknormen!BT280*calculatietarief,"")</f>
        <v/>
      </c>
      <c r="E280" s="191" t="str">
        <f ca="1">IF(Ruimtestaat!E280&gt;0,Schoonmaaknormen!BU280*calculatietarief,"")</f>
        <v/>
      </c>
      <c r="F280" s="192" t="str">
        <f ca="1">IF(Ruimtestaat!F280&gt;0,Schoonmaaknormen!BV280*calculatietarief,"")</f>
        <v/>
      </c>
      <c r="G280" s="191" t="str">
        <f ca="1">IF(Ruimtestaat!G280&gt;0,Schoonmaaknormen!BW280*calculatietarief,"")</f>
        <v/>
      </c>
      <c r="H280" s="191" t="str">
        <f ca="1">IF(Ruimtestaat!H280&gt;0,Schoonmaaknormen!BX280*calculatietarief,"")</f>
        <v/>
      </c>
      <c r="I280" s="193" t="str">
        <f ca="1">IF(Ruimtestaat!I280&gt;0,Schoonmaaknormen!BY280*calculatietarief,"")</f>
        <v/>
      </c>
      <c r="J280" s="193" t="str">
        <f ca="1">IF(Ruimtestaat!J280&gt;0,Schoonmaaknormen!BZ280*calculatietarief,"")</f>
        <v/>
      </c>
      <c r="K280" s="560"/>
      <c r="L280" s="552"/>
      <c r="M280" s="172" t="b">
        <f>IF(_xlfn.XLOOKUP(Schoonmaaknormen!BB280,Tabel2[Locatiecode],Tabel2[Type locatie],"",0)="vaccin",TRUE,FALSE)</f>
        <v>0</v>
      </c>
    </row>
    <row r="281" spans="1:13" ht="0.2" customHeight="1" x14ac:dyDescent="0.2">
      <c r="A281" s="172">
        <f ca="1">Ruimtestaat!A281</f>
        <v>2</v>
      </c>
      <c r="B281" s="578"/>
      <c r="C281" s="10">
        <v>156</v>
      </c>
      <c r="D281" s="190" t="str">
        <f ca="1">IF(Ruimtestaat!D281&gt;0,Schoonmaaknormen!BT281*calculatietarief,"")</f>
        <v/>
      </c>
      <c r="E281" s="191" t="str">
        <f ca="1">IF(Ruimtestaat!E281&gt;0,Schoonmaaknormen!BU281*calculatietarief,"")</f>
        <v/>
      </c>
      <c r="F281" s="192" t="str">
        <f ca="1">IF(Ruimtestaat!F281&gt;0,Schoonmaaknormen!BV281*calculatietarief,"")</f>
        <v/>
      </c>
      <c r="G281" s="191" t="str">
        <f ca="1">IF(Ruimtestaat!G281&gt;0,Schoonmaaknormen!BW281*calculatietarief,"")</f>
        <v/>
      </c>
      <c r="H281" s="191" t="str">
        <f ca="1">IF(Ruimtestaat!H281&gt;0,Schoonmaaknormen!BX281*calculatietarief,"")</f>
        <v/>
      </c>
      <c r="I281" s="193" t="str">
        <f ca="1">IF(Ruimtestaat!I281&gt;0,Schoonmaaknormen!BY281*calculatietarief,"")</f>
        <v/>
      </c>
      <c r="J281" s="193" t="str">
        <f ca="1">IF(Ruimtestaat!J281&gt;0,Schoonmaaknormen!BZ281*calculatietarief,"")</f>
        <v/>
      </c>
      <c r="K281" s="560"/>
      <c r="L281" s="552"/>
      <c r="M281" s="172" t="b">
        <f>IF(_xlfn.XLOOKUP(Schoonmaaknormen!BB281,Tabel2[Locatiecode],Tabel2[Type locatie],"",0)="vaccin",TRUE,FALSE)</f>
        <v>0</v>
      </c>
    </row>
    <row r="282" spans="1:13" ht="0.2" customHeight="1" x14ac:dyDescent="0.2">
      <c r="A282" s="172">
        <f ca="1">Ruimtestaat!A282</f>
        <v>2</v>
      </c>
      <c r="B282" s="578"/>
      <c r="C282" s="10">
        <v>104</v>
      </c>
      <c r="D282" s="194" t="str">
        <f ca="1">IF(Ruimtestaat!D282&gt;0,Schoonmaaknormen!BT282*calculatietarief,"")</f>
        <v/>
      </c>
      <c r="E282" s="192" t="str">
        <f ca="1">IF(Ruimtestaat!E282&gt;0,Schoonmaaknormen!BU282*calculatietarief,"")</f>
        <v/>
      </c>
      <c r="F282" s="192" t="str">
        <f ca="1">IF(Ruimtestaat!F282&gt;0,Schoonmaaknormen!BV282*calculatietarief,"")</f>
        <v/>
      </c>
      <c r="G282" s="192" t="str">
        <f ca="1">IF(Ruimtestaat!G282&gt;0,Schoonmaaknormen!BW282*calculatietarief,"")</f>
        <v/>
      </c>
      <c r="H282" s="192" t="str">
        <f ca="1">IF(Ruimtestaat!H282&gt;0,Schoonmaaknormen!BX282*calculatietarief,"")</f>
        <v/>
      </c>
      <c r="I282" s="193" t="str">
        <f ca="1">IF(Ruimtestaat!I282&gt;0,Schoonmaaknormen!BY282*calculatietarief,"")</f>
        <v/>
      </c>
      <c r="J282" s="193" t="str">
        <f ca="1">IF(Ruimtestaat!J282&gt;0,Schoonmaaknormen!BZ282*calculatietarief,"")</f>
        <v/>
      </c>
      <c r="K282" s="561" t="str">
        <f>IF(Ruimtestaat!K281&gt;0,Schoonmaaknormen!CA282*calculatietarief,"")</f>
        <v/>
      </c>
      <c r="L282" s="553"/>
      <c r="M282" s="172" t="b">
        <f>IF(_xlfn.XLOOKUP(Schoonmaaknormen!BB282,Tabel2[Locatiecode],Tabel2[Type locatie],"",0)="vaccin",TRUE,FALSE)</f>
        <v>0</v>
      </c>
    </row>
    <row r="283" spans="1:13" ht="0.2" customHeight="1" x14ac:dyDescent="0.2">
      <c r="A283" s="172">
        <f ca="1">Ruimtestaat!A283</f>
        <v>2</v>
      </c>
      <c r="B283" s="578"/>
      <c r="C283" s="10">
        <v>52</v>
      </c>
      <c r="D283" s="194" t="str">
        <f ca="1">IF(Ruimtestaat!D283&gt;0,Schoonmaaknormen!BT283*calculatietarief,"")</f>
        <v/>
      </c>
      <c r="E283" s="192" t="str">
        <f ca="1">IF(Ruimtestaat!E283&gt;0,Schoonmaaknormen!BU283*calculatietarief,"")</f>
        <v/>
      </c>
      <c r="F283" s="192" t="str">
        <f ca="1">IF(Ruimtestaat!F283&gt;0,Schoonmaaknormen!BV283*calculatietarief,"")</f>
        <v/>
      </c>
      <c r="G283" s="192" t="str">
        <f ca="1">IF(Ruimtestaat!G283&gt;0,Schoonmaaknormen!BW283*calculatietarief,"")</f>
        <v/>
      </c>
      <c r="H283" s="192" t="str">
        <f ca="1">IF(Ruimtestaat!H283&gt;0,Schoonmaaknormen!BX283*calculatietarief,"")</f>
        <v/>
      </c>
      <c r="I283" s="193" t="str">
        <f ca="1">IF(Ruimtestaat!I283&gt;0,Schoonmaaknormen!BY283*calculatietarief,"")</f>
        <v/>
      </c>
      <c r="J283" s="193" t="str">
        <f ca="1">IF(Ruimtestaat!J283&gt;0,Schoonmaaknormen!BZ283*calculatietarief,"")</f>
        <v/>
      </c>
      <c r="K283" s="561"/>
      <c r="L283" s="553"/>
      <c r="M283" s="172" t="b">
        <f>IF(_xlfn.XLOOKUP(Schoonmaaknormen!BB283,Tabel2[Locatiecode],Tabel2[Type locatie],"",0)="vaccin",TRUE,FALSE)</f>
        <v>0</v>
      </c>
    </row>
    <row r="284" spans="1:13" ht="0.2" customHeight="1" x14ac:dyDescent="0.2">
      <c r="A284" s="172">
        <f ca="1">Ruimtestaat!A284</f>
        <v>2</v>
      </c>
      <c r="B284" s="579"/>
      <c r="C284" s="10">
        <v>4</v>
      </c>
      <c r="D284" s="194" t="str">
        <f ca="1">IF(Ruimtestaat!D284&gt;0,Schoonmaaknormen!BT284*calculatietarief,"")</f>
        <v/>
      </c>
      <c r="E284" s="192" t="str">
        <f ca="1">IF(Ruimtestaat!E284&gt;0,Schoonmaaknormen!BU284*calculatietarief,"")</f>
        <v/>
      </c>
      <c r="F284" s="192" t="str">
        <f ca="1">IF(Ruimtestaat!F284&gt;0,Schoonmaaknormen!BV284*calculatietarief,"")</f>
        <v/>
      </c>
      <c r="G284" s="192" t="str">
        <f ca="1">IF(Ruimtestaat!G284&gt;0,Schoonmaaknormen!BW284*calculatietarief,"")</f>
        <v/>
      </c>
      <c r="H284" s="192" t="str">
        <f ca="1">IF(Ruimtestaat!H284&gt;0,Schoonmaaknormen!BX284*calculatietarief,"")</f>
        <v/>
      </c>
      <c r="I284" s="193" t="str">
        <f ca="1">IF(Ruimtestaat!I284&gt;0,Schoonmaaknormen!BY284*calculatietarief,"")</f>
        <v/>
      </c>
      <c r="J284" s="193" t="str">
        <f ca="1">IF(Ruimtestaat!J284&gt;0,Schoonmaaknormen!BZ284*calculatietarief,"")</f>
        <v/>
      </c>
      <c r="K284" s="562" t="str">
        <f>IF(Ruimtestaat!K284&gt;0,Schoonmaaknormen!CA284*calculatietarief,"")</f>
        <v/>
      </c>
      <c r="L284" s="554"/>
      <c r="M284" s="172" t="b">
        <f>IF(_xlfn.XLOOKUP(Schoonmaaknormen!BB284,Tabel2[Locatiecode],Tabel2[Type locatie],"",0)="vaccin",TRUE,FALSE)</f>
        <v>0</v>
      </c>
    </row>
    <row r="285" spans="1:13" ht="0.2" customHeight="1" x14ac:dyDescent="0.2">
      <c r="A285" s="172">
        <f ca="1">Ruimtestaat!A285</f>
        <v>2</v>
      </c>
      <c r="B285" s="577" t="str">
        <f>Schoonmaaknormen!BB285</f>
        <v/>
      </c>
      <c r="C285" s="10">
        <v>255</v>
      </c>
      <c r="D285" s="190" t="str">
        <f ca="1">IF(Ruimtestaat!D285&gt;0,Schoonmaaknormen!BT285*calculatietarief,"")</f>
        <v/>
      </c>
      <c r="E285" s="191" t="str">
        <f ca="1">IF(Ruimtestaat!E285&gt;0,Schoonmaaknormen!BU285*calculatietarief,"")</f>
        <v/>
      </c>
      <c r="F285" s="192" t="str">
        <f ca="1">IF(Ruimtestaat!F285&gt;0,Schoonmaaknormen!BV285*calculatietarief,"")</f>
        <v/>
      </c>
      <c r="G285" s="191" t="str">
        <f ca="1">IF(Ruimtestaat!G285&gt;0,Schoonmaaknormen!BW285*calculatietarief,"")</f>
        <v/>
      </c>
      <c r="H285" s="191" t="str">
        <f ca="1">IF(Ruimtestaat!H285&gt;0,Schoonmaaknormen!BX285*calculatietarief,"")</f>
        <v/>
      </c>
      <c r="I285" s="193" t="str">
        <f ca="1">IF(Ruimtestaat!I285&gt;0,Schoonmaaknormen!BY285*calculatietarief,"")</f>
        <v/>
      </c>
      <c r="J285" s="193" t="str">
        <f ca="1">IF(Ruimtestaat!J285&gt;0,Schoonmaaknormen!BZ285*calculatietarief,"")</f>
        <v/>
      </c>
      <c r="K285" s="559" t="str">
        <f>IF(Schoonmaaknormen!K285&gt;0,Schoonmaaknormen!CA285*calculatietarief,"")</f>
        <v/>
      </c>
      <c r="L285" s="551">
        <f ca="1">SUM(D285:K290)</f>
        <v>0</v>
      </c>
      <c r="M285" s="172" t="b">
        <f>IF(_xlfn.XLOOKUP(Schoonmaaknormen!BB285,Tabel2[Locatiecode],Tabel2[Type locatie],"",0)="vaccin",TRUE,FALSE)</f>
        <v>0</v>
      </c>
    </row>
    <row r="286" spans="1:13" ht="0.2" customHeight="1" x14ac:dyDescent="0.2">
      <c r="A286" s="172">
        <f ca="1">Ruimtestaat!A286</f>
        <v>2</v>
      </c>
      <c r="B286" s="578"/>
      <c r="C286" s="10">
        <v>204</v>
      </c>
      <c r="D286" s="190" t="str">
        <f ca="1">IF(Ruimtestaat!D286&gt;0,Schoonmaaknormen!BT286*calculatietarief,"")</f>
        <v/>
      </c>
      <c r="E286" s="191" t="str">
        <f ca="1">IF(Ruimtestaat!E286&gt;0,Schoonmaaknormen!BU286*calculatietarief,"")</f>
        <v/>
      </c>
      <c r="F286" s="192" t="str">
        <f ca="1">IF(Ruimtestaat!F286&gt;0,Schoonmaaknormen!BV286*calculatietarief,"")</f>
        <v/>
      </c>
      <c r="G286" s="191" t="str">
        <f ca="1">IF(Ruimtestaat!G286&gt;0,Schoonmaaknormen!BW286*calculatietarief,"")</f>
        <v/>
      </c>
      <c r="H286" s="191" t="str">
        <f ca="1">IF(Ruimtestaat!H286&gt;0,Schoonmaaknormen!BX286*calculatietarief,"")</f>
        <v/>
      </c>
      <c r="I286" s="193" t="str">
        <f ca="1">IF(Ruimtestaat!I286&gt;0,Schoonmaaknormen!BY286*calculatietarief,"")</f>
        <v/>
      </c>
      <c r="J286" s="193" t="str">
        <f ca="1">IF(Ruimtestaat!J286&gt;0,Schoonmaaknormen!BZ286*calculatietarief,"")</f>
        <v/>
      </c>
      <c r="K286" s="560"/>
      <c r="L286" s="552"/>
      <c r="M286" s="172" t="b">
        <f>IF(_xlfn.XLOOKUP(Schoonmaaknormen!BB286,Tabel2[Locatiecode],Tabel2[Type locatie],"",0)="vaccin",TRUE,FALSE)</f>
        <v>0</v>
      </c>
    </row>
    <row r="287" spans="1:13" ht="0.2" customHeight="1" x14ac:dyDescent="0.2">
      <c r="A287" s="172">
        <f ca="1">Ruimtestaat!A287</f>
        <v>2</v>
      </c>
      <c r="B287" s="578"/>
      <c r="C287" s="10">
        <v>156</v>
      </c>
      <c r="D287" s="190" t="str">
        <f ca="1">IF(Ruimtestaat!D287&gt;0,Schoonmaaknormen!BT287*calculatietarief,"")</f>
        <v/>
      </c>
      <c r="E287" s="191" t="str">
        <f ca="1">IF(Ruimtestaat!E287&gt;0,Schoonmaaknormen!BU287*calculatietarief,"")</f>
        <v/>
      </c>
      <c r="F287" s="192" t="str">
        <f ca="1">IF(Ruimtestaat!F287&gt;0,Schoonmaaknormen!BV287*calculatietarief,"")</f>
        <v/>
      </c>
      <c r="G287" s="191" t="str">
        <f ca="1">IF(Ruimtestaat!G287&gt;0,Schoonmaaknormen!BW287*calculatietarief,"")</f>
        <v/>
      </c>
      <c r="H287" s="191" t="str">
        <f ca="1">IF(Ruimtestaat!H287&gt;0,Schoonmaaknormen!BX287*calculatietarief,"")</f>
        <v/>
      </c>
      <c r="I287" s="193" t="str">
        <f ca="1">IF(Ruimtestaat!I287&gt;0,Schoonmaaknormen!BY287*calculatietarief,"")</f>
        <v/>
      </c>
      <c r="J287" s="193" t="str">
        <f ca="1">IF(Ruimtestaat!J287&gt;0,Schoonmaaknormen!BZ287*calculatietarief,"")</f>
        <v/>
      </c>
      <c r="K287" s="560"/>
      <c r="L287" s="552"/>
      <c r="M287" s="172" t="b">
        <f>IF(_xlfn.XLOOKUP(Schoonmaaknormen!BB287,Tabel2[Locatiecode],Tabel2[Type locatie],"",0)="vaccin",TRUE,FALSE)</f>
        <v>0</v>
      </c>
    </row>
    <row r="288" spans="1:13" ht="0.2" customHeight="1" x14ac:dyDescent="0.2">
      <c r="A288" s="172">
        <f ca="1">Ruimtestaat!A288</f>
        <v>2</v>
      </c>
      <c r="B288" s="578"/>
      <c r="C288" s="10">
        <v>104</v>
      </c>
      <c r="D288" s="194" t="str">
        <f ca="1">IF(Ruimtestaat!D288&gt;0,Schoonmaaknormen!BT288*calculatietarief,"")</f>
        <v/>
      </c>
      <c r="E288" s="192" t="str">
        <f ca="1">IF(Ruimtestaat!E288&gt;0,Schoonmaaknormen!BU288*calculatietarief,"")</f>
        <v/>
      </c>
      <c r="F288" s="192" t="str">
        <f ca="1">IF(Ruimtestaat!F288&gt;0,Schoonmaaknormen!BV288*calculatietarief,"")</f>
        <v/>
      </c>
      <c r="G288" s="192" t="str">
        <f ca="1">IF(Ruimtestaat!G288&gt;0,Schoonmaaknormen!BW288*calculatietarief,"")</f>
        <v/>
      </c>
      <c r="H288" s="192" t="str">
        <f ca="1">IF(Ruimtestaat!H288&gt;0,Schoonmaaknormen!BX288*calculatietarief,"")</f>
        <v/>
      </c>
      <c r="I288" s="193" t="str">
        <f ca="1">IF(Ruimtestaat!I288&gt;0,Schoonmaaknormen!BY288*calculatietarief,"")</f>
        <v/>
      </c>
      <c r="J288" s="193" t="str">
        <f ca="1">IF(Ruimtestaat!J288&gt;0,Schoonmaaknormen!BZ288*calculatietarief,"")</f>
        <v/>
      </c>
      <c r="K288" s="561" t="str">
        <f>IF(Ruimtestaat!K287&gt;0,Schoonmaaknormen!CA288*calculatietarief,"")</f>
        <v/>
      </c>
      <c r="L288" s="553"/>
      <c r="M288" s="172" t="b">
        <f>IF(_xlfn.XLOOKUP(Schoonmaaknormen!BB288,Tabel2[Locatiecode],Tabel2[Type locatie],"",0)="vaccin",TRUE,FALSE)</f>
        <v>0</v>
      </c>
    </row>
    <row r="289" spans="1:13" ht="0.2" customHeight="1" x14ac:dyDescent="0.2">
      <c r="A289" s="172">
        <f ca="1">Ruimtestaat!A289</f>
        <v>2</v>
      </c>
      <c r="B289" s="578"/>
      <c r="C289" s="10">
        <v>52</v>
      </c>
      <c r="D289" s="194" t="str">
        <f ca="1">IF(Ruimtestaat!D289&gt;0,Schoonmaaknormen!BT289*calculatietarief,"")</f>
        <v/>
      </c>
      <c r="E289" s="192" t="str">
        <f ca="1">IF(Ruimtestaat!E289&gt;0,Schoonmaaknormen!BU289*calculatietarief,"")</f>
        <v/>
      </c>
      <c r="F289" s="192" t="str">
        <f ca="1">IF(Ruimtestaat!F289&gt;0,Schoonmaaknormen!BV289*calculatietarief,"")</f>
        <v/>
      </c>
      <c r="G289" s="192" t="str">
        <f ca="1">IF(Ruimtestaat!G289&gt;0,Schoonmaaknormen!BW289*calculatietarief,"")</f>
        <v/>
      </c>
      <c r="H289" s="192" t="str">
        <f ca="1">IF(Ruimtestaat!H289&gt;0,Schoonmaaknormen!BX289*calculatietarief,"")</f>
        <v/>
      </c>
      <c r="I289" s="193" t="str">
        <f ca="1">IF(Ruimtestaat!I289&gt;0,Schoonmaaknormen!BY289*calculatietarief,"")</f>
        <v/>
      </c>
      <c r="J289" s="193" t="str">
        <f ca="1">IF(Ruimtestaat!J289&gt;0,Schoonmaaknormen!BZ289*calculatietarief,"")</f>
        <v/>
      </c>
      <c r="K289" s="561"/>
      <c r="L289" s="553"/>
      <c r="M289" s="172" t="b">
        <f>IF(_xlfn.XLOOKUP(Schoonmaaknormen!BB289,Tabel2[Locatiecode],Tabel2[Type locatie],"",0)="vaccin",TRUE,FALSE)</f>
        <v>0</v>
      </c>
    </row>
    <row r="290" spans="1:13" ht="0.2" customHeight="1" x14ac:dyDescent="0.2">
      <c r="A290" s="172">
        <f ca="1">Ruimtestaat!A290</f>
        <v>2</v>
      </c>
      <c r="B290" s="579"/>
      <c r="C290" s="10">
        <v>4</v>
      </c>
      <c r="D290" s="194" t="str">
        <f ca="1">IF(Ruimtestaat!D290&gt;0,Schoonmaaknormen!BT290*calculatietarief,"")</f>
        <v/>
      </c>
      <c r="E290" s="192" t="str">
        <f ca="1">IF(Ruimtestaat!E290&gt;0,Schoonmaaknormen!BU290*calculatietarief,"")</f>
        <v/>
      </c>
      <c r="F290" s="192" t="str">
        <f ca="1">IF(Ruimtestaat!F290&gt;0,Schoonmaaknormen!BV290*calculatietarief,"")</f>
        <v/>
      </c>
      <c r="G290" s="192" t="str">
        <f ca="1">IF(Ruimtestaat!G290&gt;0,Schoonmaaknormen!BW290*calculatietarief,"")</f>
        <v/>
      </c>
      <c r="H290" s="192" t="str">
        <f ca="1">IF(Ruimtestaat!H290&gt;0,Schoonmaaknormen!BX290*calculatietarief,"")</f>
        <v/>
      </c>
      <c r="I290" s="193" t="str">
        <f ca="1">IF(Ruimtestaat!I290&gt;0,Schoonmaaknormen!BY290*calculatietarief,"")</f>
        <v/>
      </c>
      <c r="J290" s="193" t="str">
        <f ca="1">IF(Ruimtestaat!J290&gt;0,Schoonmaaknormen!BZ290*calculatietarief,"")</f>
        <v/>
      </c>
      <c r="K290" s="562" t="str">
        <f>IF(Ruimtestaat!K290&gt;0,Schoonmaaknormen!CA290*calculatietarief,"")</f>
        <v/>
      </c>
      <c r="L290" s="554"/>
      <c r="M290" s="172" t="b">
        <f>IF(_xlfn.XLOOKUP(Schoonmaaknormen!BB290,Tabel2[Locatiecode],Tabel2[Type locatie],"",0)="vaccin",TRUE,FALSE)</f>
        <v>0</v>
      </c>
    </row>
    <row r="291" spans="1:13" ht="0.2" customHeight="1" x14ac:dyDescent="0.2">
      <c r="A291" s="172">
        <f ca="1">Ruimtestaat!A291</f>
        <v>2</v>
      </c>
      <c r="B291" s="577" t="str">
        <f>Schoonmaaknormen!BB291</f>
        <v/>
      </c>
      <c r="C291" s="10">
        <v>255</v>
      </c>
      <c r="D291" s="190" t="str">
        <f ca="1">IF(Ruimtestaat!D291&gt;0,Schoonmaaknormen!BT291*calculatietarief,"")</f>
        <v/>
      </c>
      <c r="E291" s="191" t="str">
        <f ca="1">IF(Ruimtestaat!E291&gt;0,Schoonmaaknormen!BU291*calculatietarief,"")</f>
        <v/>
      </c>
      <c r="F291" s="192" t="str">
        <f ca="1">IF(Ruimtestaat!F291&gt;0,Schoonmaaknormen!BV291*calculatietarief,"")</f>
        <v/>
      </c>
      <c r="G291" s="191" t="str">
        <f ca="1">IF(Ruimtestaat!G291&gt;0,Schoonmaaknormen!BW291*calculatietarief,"")</f>
        <v/>
      </c>
      <c r="H291" s="191" t="str">
        <f ca="1">IF(Ruimtestaat!H291&gt;0,Schoonmaaknormen!BX291*calculatietarief,"")</f>
        <v/>
      </c>
      <c r="I291" s="193" t="str">
        <f ca="1">IF(Ruimtestaat!I291&gt;0,Schoonmaaknormen!BY291*calculatietarief,"")</f>
        <v/>
      </c>
      <c r="J291" s="193" t="str">
        <f ca="1">IF(Ruimtestaat!J291&gt;0,Schoonmaaknormen!BZ291*calculatietarief,"")</f>
        <v/>
      </c>
      <c r="K291" s="559" t="str">
        <f>IF(Schoonmaaknormen!K291&gt;0,Schoonmaaknormen!CA291*calculatietarief,"")</f>
        <v/>
      </c>
      <c r="L291" s="551">
        <f ca="1">SUM(D291:K296)</f>
        <v>0</v>
      </c>
      <c r="M291" s="172" t="b">
        <f>IF(_xlfn.XLOOKUP(Schoonmaaknormen!BB291,Tabel2[Locatiecode],Tabel2[Type locatie],"",0)="vaccin",TRUE,FALSE)</f>
        <v>0</v>
      </c>
    </row>
    <row r="292" spans="1:13" ht="0.2" customHeight="1" x14ac:dyDescent="0.2">
      <c r="A292" s="172">
        <f ca="1">Ruimtestaat!A292</f>
        <v>2</v>
      </c>
      <c r="B292" s="578"/>
      <c r="C292" s="10">
        <v>204</v>
      </c>
      <c r="D292" s="190" t="str">
        <f ca="1">IF(Ruimtestaat!D292&gt;0,Schoonmaaknormen!BT292*calculatietarief,"")</f>
        <v/>
      </c>
      <c r="E292" s="191" t="str">
        <f ca="1">IF(Ruimtestaat!E292&gt;0,Schoonmaaknormen!BU292*calculatietarief,"")</f>
        <v/>
      </c>
      <c r="F292" s="192" t="str">
        <f ca="1">IF(Ruimtestaat!F292&gt;0,Schoonmaaknormen!BV292*calculatietarief,"")</f>
        <v/>
      </c>
      <c r="G292" s="191" t="str">
        <f ca="1">IF(Ruimtestaat!G292&gt;0,Schoonmaaknormen!BW292*calculatietarief,"")</f>
        <v/>
      </c>
      <c r="H292" s="191" t="str">
        <f ca="1">IF(Ruimtestaat!H292&gt;0,Schoonmaaknormen!BX292*calculatietarief,"")</f>
        <v/>
      </c>
      <c r="I292" s="193" t="str">
        <f ca="1">IF(Ruimtestaat!I292&gt;0,Schoonmaaknormen!BY292*calculatietarief,"")</f>
        <v/>
      </c>
      <c r="J292" s="193" t="str">
        <f ca="1">IF(Ruimtestaat!J292&gt;0,Schoonmaaknormen!BZ292*calculatietarief,"")</f>
        <v/>
      </c>
      <c r="K292" s="560"/>
      <c r="L292" s="552"/>
      <c r="M292" s="172" t="b">
        <f>IF(_xlfn.XLOOKUP(Schoonmaaknormen!BB292,Tabel2[Locatiecode],Tabel2[Type locatie],"",0)="vaccin",TRUE,FALSE)</f>
        <v>0</v>
      </c>
    </row>
    <row r="293" spans="1:13" ht="0.2" customHeight="1" x14ac:dyDescent="0.2">
      <c r="A293" s="172">
        <f ca="1">Ruimtestaat!A293</f>
        <v>2</v>
      </c>
      <c r="B293" s="578"/>
      <c r="C293" s="10">
        <v>156</v>
      </c>
      <c r="D293" s="190" t="str">
        <f ca="1">IF(Ruimtestaat!D293&gt;0,Schoonmaaknormen!BT293*calculatietarief,"")</f>
        <v/>
      </c>
      <c r="E293" s="191" t="str">
        <f ca="1">IF(Ruimtestaat!E293&gt;0,Schoonmaaknormen!BU293*calculatietarief,"")</f>
        <v/>
      </c>
      <c r="F293" s="192" t="str">
        <f ca="1">IF(Ruimtestaat!F293&gt;0,Schoonmaaknormen!BV293*calculatietarief,"")</f>
        <v/>
      </c>
      <c r="G293" s="191" t="str">
        <f ca="1">IF(Ruimtestaat!G293&gt;0,Schoonmaaknormen!BW293*calculatietarief,"")</f>
        <v/>
      </c>
      <c r="H293" s="191" t="str">
        <f ca="1">IF(Ruimtestaat!H293&gt;0,Schoonmaaknormen!BX293*calculatietarief,"")</f>
        <v/>
      </c>
      <c r="I293" s="193" t="str">
        <f ca="1">IF(Ruimtestaat!I293&gt;0,Schoonmaaknormen!BY293*calculatietarief,"")</f>
        <v/>
      </c>
      <c r="J293" s="193" t="str">
        <f ca="1">IF(Ruimtestaat!J293&gt;0,Schoonmaaknormen!BZ293*calculatietarief,"")</f>
        <v/>
      </c>
      <c r="K293" s="560"/>
      <c r="L293" s="552"/>
      <c r="M293" s="172" t="b">
        <f>IF(_xlfn.XLOOKUP(Schoonmaaknormen!BB293,Tabel2[Locatiecode],Tabel2[Type locatie],"",0)="vaccin",TRUE,FALSE)</f>
        <v>0</v>
      </c>
    </row>
    <row r="294" spans="1:13" ht="0.2" customHeight="1" x14ac:dyDescent="0.2">
      <c r="A294" s="172">
        <f ca="1">Ruimtestaat!A294</f>
        <v>2</v>
      </c>
      <c r="B294" s="578"/>
      <c r="C294" s="10">
        <v>104</v>
      </c>
      <c r="D294" s="194" t="str">
        <f ca="1">IF(Ruimtestaat!D294&gt;0,Schoonmaaknormen!BT294*calculatietarief,"")</f>
        <v/>
      </c>
      <c r="E294" s="192" t="str">
        <f ca="1">IF(Ruimtestaat!E294&gt;0,Schoonmaaknormen!BU294*calculatietarief,"")</f>
        <v/>
      </c>
      <c r="F294" s="192" t="str">
        <f ca="1">IF(Ruimtestaat!F294&gt;0,Schoonmaaknormen!BV294*calculatietarief,"")</f>
        <v/>
      </c>
      <c r="G294" s="192" t="str">
        <f ca="1">IF(Ruimtestaat!G294&gt;0,Schoonmaaknormen!BW294*calculatietarief,"")</f>
        <v/>
      </c>
      <c r="H294" s="192" t="str">
        <f ca="1">IF(Ruimtestaat!H294&gt;0,Schoonmaaknormen!BX294*calculatietarief,"")</f>
        <v/>
      </c>
      <c r="I294" s="193" t="str">
        <f ca="1">IF(Ruimtestaat!I294&gt;0,Schoonmaaknormen!BY294*calculatietarief,"")</f>
        <v/>
      </c>
      <c r="J294" s="193" t="str">
        <f ca="1">IF(Ruimtestaat!J294&gt;0,Schoonmaaknormen!BZ294*calculatietarief,"")</f>
        <v/>
      </c>
      <c r="K294" s="561" t="str">
        <f>IF(Ruimtestaat!K293&gt;0,Schoonmaaknormen!CA294*calculatietarief,"")</f>
        <v/>
      </c>
      <c r="L294" s="553"/>
      <c r="M294" s="172" t="b">
        <f>IF(_xlfn.XLOOKUP(Schoonmaaknormen!BB294,Tabel2[Locatiecode],Tabel2[Type locatie],"",0)="vaccin",TRUE,FALSE)</f>
        <v>0</v>
      </c>
    </row>
    <row r="295" spans="1:13" ht="0.2" customHeight="1" x14ac:dyDescent="0.2">
      <c r="A295" s="172">
        <f ca="1">Ruimtestaat!A295</f>
        <v>2</v>
      </c>
      <c r="B295" s="578"/>
      <c r="C295" s="10">
        <v>52</v>
      </c>
      <c r="D295" s="194" t="str">
        <f ca="1">IF(Ruimtestaat!D295&gt;0,Schoonmaaknormen!BT295*calculatietarief,"")</f>
        <v/>
      </c>
      <c r="E295" s="192" t="str">
        <f ca="1">IF(Ruimtestaat!E295&gt;0,Schoonmaaknormen!BU295*calculatietarief,"")</f>
        <v/>
      </c>
      <c r="F295" s="192" t="str">
        <f ca="1">IF(Ruimtestaat!F295&gt;0,Schoonmaaknormen!BV295*calculatietarief,"")</f>
        <v/>
      </c>
      <c r="G295" s="192" t="str">
        <f ca="1">IF(Ruimtestaat!G295&gt;0,Schoonmaaknormen!BW295*calculatietarief,"")</f>
        <v/>
      </c>
      <c r="H295" s="192" t="str">
        <f ca="1">IF(Ruimtestaat!H295&gt;0,Schoonmaaknormen!BX295*calculatietarief,"")</f>
        <v/>
      </c>
      <c r="I295" s="193" t="str">
        <f ca="1">IF(Ruimtestaat!I295&gt;0,Schoonmaaknormen!BY295*calculatietarief,"")</f>
        <v/>
      </c>
      <c r="J295" s="193" t="str">
        <f ca="1">IF(Ruimtestaat!J295&gt;0,Schoonmaaknormen!BZ295*calculatietarief,"")</f>
        <v/>
      </c>
      <c r="K295" s="561"/>
      <c r="L295" s="553"/>
      <c r="M295" s="172" t="b">
        <f>IF(_xlfn.XLOOKUP(Schoonmaaknormen!BB295,Tabel2[Locatiecode],Tabel2[Type locatie],"",0)="vaccin",TRUE,FALSE)</f>
        <v>0</v>
      </c>
    </row>
    <row r="296" spans="1:13" ht="0.2" customHeight="1" x14ac:dyDescent="0.2">
      <c r="A296" s="172">
        <f ca="1">Ruimtestaat!A296</f>
        <v>2</v>
      </c>
      <c r="B296" s="579"/>
      <c r="C296" s="10">
        <v>4</v>
      </c>
      <c r="D296" s="194" t="str">
        <f ca="1">IF(Ruimtestaat!D296&gt;0,Schoonmaaknormen!BT296*calculatietarief,"")</f>
        <v/>
      </c>
      <c r="E296" s="192" t="str">
        <f ca="1">IF(Ruimtestaat!E296&gt;0,Schoonmaaknormen!BU296*calculatietarief,"")</f>
        <v/>
      </c>
      <c r="F296" s="192" t="str">
        <f ca="1">IF(Ruimtestaat!F296&gt;0,Schoonmaaknormen!BV296*calculatietarief,"")</f>
        <v/>
      </c>
      <c r="G296" s="192" t="str">
        <f ca="1">IF(Ruimtestaat!G296&gt;0,Schoonmaaknormen!BW296*calculatietarief,"")</f>
        <v/>
      </c>
      <c r="H296" s="192" t="str">
        <f ca="1">IF(Ruimtestaat!H296&gt;0,Schoonmaaknormen!BX296*calculatietarief,"")</f>
        <v/>
      </c>
      <c r="I296" s="193" t="str">
        <f ca="1">IF(Ruimtestaat!I296&gt;0,Schoonmaaknormen!BY296*calculatietarief,"")</f>
        <v/>
      </c>
      <c r="J296" s="193" t="str">
        <f ca="1">IF(Ruimtestaat!J296&gt;0,Schoonmaaknormen!BZ296*calculatietarief,"")</f>
        <v/>
      </c>
      <c r="K296" s="562" t="str">
        <f>IF(Ruimtestaat!K296&gt;0,Schoonmaaknormen!CA296*calculatietarief,"")</f>
        <v/>
      </c>
      <c r="L296" s="554"/>
      <c r="M296" s="172" t="b">
        <f>IF(_xlfn.XLOOKUP(Schoonmaaknormen!BB296,Tabel2[Locatiecode],Tabel2[Type locatie],"",0)="vaccin",TRUE,FALSE)</f>
        <v>0</v>
      </c>
    </row>
    <row r="297" spans="1:13" ht="0.2" customHeight="1" x14ac:dyDescent="0.2">
      <c r="A297" s="172">
        <f ca="1">Ruimtestaat!A297</f>
        <v>2</v>
      </c>
      <c r="B297" s="577" t="str">
        <f>Schoonmaaknormen!BB297</f>
        <v/>
      </c>
      <c r="C297" s="10">
        <v>255</v>
      </c>
      <c r="D297" s="190" t="str">
        <f ca="1">IF(Ruimtestaat!D297&gt;0,Schoonmaaknormen!BT297*calculatietarief,"")</f>
        <v/>
      </c>
      <c r="E297" s="191" t="str">
        <f ca="1">IF(Ruimtestaat!E297&gt;0,Schoonmaaknormen!BU297*calculatietarief,"")</f>
        <v/>
      </c>
      <c r="F297" s="192" t="str">
        <f ca="1">IF(Ruimtestaat!F297&gt;0,Schoonmaaknormen!BV297*calculatietarief,"")</f>
        <v/>
      </c>
      <c r="G297" s="191" t="str">
        <f ca="1">IF(Ruimtestaat!G297&gt;0,Schoonmaaknormen!BW297*calculatietarief,"")</f>
        <v/>
      </c>
      <c r="H297" s="191" t="str">
        <f ca="1">IF(Ruimtestaat!H297&gt;0,Schoonmaaknormen!BX297*calculatietarief,"")</f>
        <v/>
      </c>
      <c r="I297" s="193" t="str">
        <f ca="1">IF(Ruimtestaat!I297&gt;0,Schoonmaaknormen!BY297*calculatietarief,"")</f>
        <v/>
      </c>
      <c r="J297" s="193" t="str">
        <f ca="1">IF(Ruimtestaat!J297&gt;0,Schoonmaaknormen!BZ297*calculatietarief,"")</f>
        <v/>
      </c>
      <c r="K297" s="559" t="str">
        <f>IF(Schoonmaaknormen!K297&gt;0,Schoonmaaknormen!CA297*calculatietarief,"")</f>
        <v/>
      </c>
      <c r="L297" s="551">
        <f ca="1">SUM(D297:K302)</f>
        <v>0</v>
      </c>
      <c r="M297" s="172" t="b">
        <f>IF(_xlfn.XLOOKUP(Schoonmaaknormen!BB297,Tabel2[Locatiecode],Tabel2[Type locatie],"",0)="vaccin",TRUE,FALSE)</f>
        <v>0</v>
      </c>
    </row>
    <row r="298" spans="1:13" ht="0.2" customHeight="1" x14ac:dyDescent="0.2">
      <c r="A298" s="172">
        <f ca="1">Ruimtestaat!A298</f>
        <v>2</v>
      </c>
      <c r="B298" s="578"/>
      <c r="C298" s="10">
        <v>204</v>
      </c>
      <c r="D298" s="190" t="str">
        <f ca="1">IF(Ruimtestaat!D298&gt;0,Schoonmaaknormen!BT298*calculatietarief,"")</f>
        <v/>
      </c>
      <c r="E298" s="191" t="str">
        <f ca="1">IF(Ruimtestaat!E298&gt;0,Schoonmaaknormen!BU298*calculatietarief,"")</f>
        <v/>
      </c>
      <c r="F298" s="192" t="str">
        <f ca="1">IF(Ruimtestaat!F298&gt;0,Schoonmaaknormen!BV298*calculatietarief,"")</f>
        <v/>
      </c>
      <c r="G298" s="191" t="str">
        <f ca="1">IF(Ruimtestaat!G298&gt;0,Schoonmaaknormen!BW298*calculatietarief,"")</f>
        <v/>
      </c>
      <c r="H298" s="191" t="str">
        <f ca="1">IF(Ruimtestaat!H298&gt;0,Schoonmaaknormen!BX298*calculatietarief,"")</f>
        <v/>
      </c>
      <c r="I298" s="193" t="str">
        <f ca="1">IF(Ruimtestaat!I298&gt;0,Schoonmaaknormen!BY298*calculatietarief,"")</f>
        <v/>
      </c>
      <c r="J298" s="193" t="str">
        <f ca="1">IF(Ruimtestaat!J298&gt;0,Schoonmaaknormen!BZ298*calculatietarief,"")</f>
        <v/>
      </c>
      <c r="K298" s="560"/>
      <c r="L298" s="552"/>
      <c r="M298" s="172" t="b">
        <f>IF(_xlfn.XLOOKUP(Schoonmaaknormen!BB298,Tabel2[Locatiecode],Tabel2[Type locatie],"",0)="vaccin",TRUE,FALSE)</f>
        <v>0</v>
      </c>
    </row>
    <row r="299" spans="1:13" ht="0.2" customHeight="1" x14ac:dyDescent="0.2">
      <c r="A299" s="172">
        <f ca="1">Ruimtestaat!A299</f>
        <v>2</v>
      </c>
      <c r="B299" s="578"/>
      <c r="C299" s="10">
        <v>156</v>
      </c>
      <c r="D299" s="190" t="str">
        <f ca="1">IF(Ruimtestaat!D299&gt;0,Schoonmaaknormen!BT299*calculatietarief,"")</f>
        <v/>
      </c>
      <c r="E299" s="191" t="str">
        <f ca="1">IF(Ruimtestaat!E299&gt;0,Schoonmaaknormen!BU299*calculatietarief,"")</f>
        <v/>
      </c>
      <c r="F299" s="192" t="str">
        <f ca="1">IF(Ruimtestaat!F299&gt;0,Schoonmaaknormen!BV299*calculatietarief,"")</f>
        <v/>
      </c>
      <c r="G299" s="191" t="str">
        <f ca="1">IF(Ruimtestaat!G299&gt;0,Schoonmaaknormen!BW299*calculatietarief,"")</f>
        <v/>
      </c>
      <c r="H299" s="191" t="str">
        <f ca="1">IF(Ruimtestaat!H299&gt;0,Schoonmaaknormen!BX299*calculatietarief,"")</f>
        <v/>
      </c>
      <c r="I299" s="193" t="str">
        <f ca="1">IF(Ruimtestaat!I299&gt;0,Schoonmaaknormen!BY299*calculatietarief,"")</f>
        <v/>
      </c>
      <c r="J299" s="193" t="str">
        <f ca="1">IF(Ruimtestaat!J299&gt;0,Schoonmaaknormen!BZ299*calculatietarief,"")</f>
        <v/>
      </c>
      <c r="K299" s="560"/>
      <c r="L299" s="552"/>
      <c r="M299" s="172" t="b">
        <f>IF(_xlfn.XLOOKUP(Schoonmaaknormen!BB299,Tabel2[Locatiecode],Tabel2[Type locatie],"",0)="vaccin",TRUE,FALSE)</f>
        <v>0</v>
      </c>
    </row>
    <row r="300" spans="1:13" ht="0.2" customHeight="1" x14ac:dyDescent="0.2">
      <c r="A300" s="172">
        <f ca="1">Ruimtestaat!A300</f>
        <v>2</v>
      </c>
      <c r="B300" s="578"/>
      <c r="C300" s="10">
        <v>104</v>
      </c>
      <c r="D300" s="194" t="str">
        <f ca="1">IF(Ruimtestaat!D300&gt;0,Schoonmaaknormen!BT300*calculatietarief,"")</f>
        <v/>
      </c>
      <c r="E300" s="192" t="str">
        <f ca="1">IF(Ruimtestaat!E300&gt;0,Schoonmaaknormen!BU300*calculatietarief,"")</f>
        <v/>
      </c>
      <c r="F300" s="192" t="str">
        <f ca="1">IF(Ruimtestaat!F300&gt;0,Schoonmaaknormen!BV300*calculatietarief,"")</f>
        <v/>
      </c>
      <c r="G300" s="192" t="str">
        <f ca="1">IF(Ruimtestaat!G300&gt;0,Schoonmaaknormen!BW300*calculatietarief,"")</f>
        <v/>
      </c>
      <c r="H300" s="192" t="str">
        <f ca="1">IF(Ruimtestaat!H300&gt;0,Schoonmaaknormen!BX300*calculatietarief,"")</f>
        <v/>
      </c>
      <c r="I300" s="193" t="str">
        <f ca="1">IF(Ruimtestaat!I300&gt;0,Schoonmaaknormen!BY300*calculatietarief,"")</f>
        <v/>
      </c>
      <c r="J300" s="193" t="str">
        <f ca="1">IF(Ruimtestaat!J300&gt;0,Schoonmaaknormen!BZ300*calculatietarief,"")</f>
        <v/>
      </c>
      <c r="K300" s="561" t="str">
        <f>IF(Ruimtestaat!K299&gt;0,Schoonmaaknormen!CA300*calculatietarief,"")</f>
        <v/>
      </c>
      <c r="L300" s="553"/>
      <c r="M300" s="172" t="b">
        <f>IF(_xlfn.XLOOKUP(Schoonmaaknormen!BB300,Tabel2[Locatiecode],Tabel2[Type locatie],"",0)="vaccin",TRUE,FALSE)</f>
        <v>0</v>
      </c>
    </row>
    <row r="301" spans="1:13" ht="0.2" customHeight="1" x14ac:dyDescent="0.2">
      <c r="A301" s="172">
        <f ca="1">Ruimtestaat!A301</f>
        <v>2</v>
      </c>
      <c r="B301" s="578"/>
      <c r="C301" s="10">
        <v>52</v>
      </c>
      <c r="D301" s="194" t="str">
        <f ca="1">IF(Ruimtestaat!D301&gt;0,Schoonmaaknormen!BT301*calculatietarief,"")</f>
        <v/>
      </c>
      <c r="E301" s="192" t="str">
        <f ca="1">IF(Ruimtestaat!E301&gt;0,Schoonmaaknormen!BU301*calculatietarief,"")</f>
        <v/>
      </c>
      <c r="F301" s="192" t="str">
        <f ca="1">IF(Ruimtestaat!F301&gt;0,Schoonmaaknormen!BV301*calculatietarief,"")</f>
        <v/>
      </c>
      <c r="G301" s="192" t="str">
        <f ca="1">IF(Ruimtestaat!G301&gt;0,Schoonmaaknormen!BW301*calculatietarief,"")</f>
        <v/>
      </c>
      <c r="H301" s="192" t="str">
        <f ca="1">IF(Ruimtestaat!H301&gt;0,Schoonmaaknormen!BX301*calculatietarief,"")</f>
        <v/>
      </c>
      <c r="I301" s="193" t="str">
        <f ca="1">IF(Ruimtestaat!I301&gt;0,Schoonmaaknormen!BY301*calculatietarief,"")</f>
        <v/>
      </c>
      <c r="J301" s="193" t="str">
        <f ca="1">IF(Ruimtestaat!J301&gt;0,Schoonmaaknormen!BZ301*calculatietarief,"")</f>
        <v/>
      </c>
      <c r="K301" s="561"/>
      <c r="L301" s="553"/>
      <c r="M301" s="172" t="b">
        <f>IF(_xlfn.XLOOKUP(Schoonmaaknormen!BB301,Tabel2[Locatiecode],Tabel2[Type locatie],"",0)="vaccin",TRUE,FALSE)</f>
        <v>0</v>
      </c>
    </row>
    <row r="302" spans="1:13" ht="0.2" customHeight="1" thickBot="1" x14ac:dyDescent="0.25">
      <c r="A302" s="172">
        <f ca="1">Ruimtestaat!A302</f>
        <v>2</v>
      </c>
      <c r="B302" s="579"/>
      <c r="C302" s="10">
        <v>4</v>
      </c>
      <c r="D302" s="194" t="str">
        <f ca="1">IF(Ruimtestaat!D302&gt;0,Schoonmaaknormen!BT302*calculatietarief,"")</f>
        <v/>
      </c>
      <c r="E302" s="192" t="str">
        <f ca="1">IF(Ruimtestaat!E302&gt;0,Schoonmaaknormen!BU302*calculatietarief,"")</f>
        <v/>
      </c>
      <c r="F302" s="192" t="str">
        <f ca="1">IF(Ruimtestaat!F302&gt;0,Schoonmaaknormen!BV302*calculatietarief,"")</f>
        <v/>
      </c>
      <c r="G302" s="192" t="str">
        <f ca="1">IF(Ruimtestaat!G302&gt;0,Schoonmaaknormen!BW302*calculatietarief,"")</f>
        <v/>
      </c>
      <c r="H302" s="192" t="str">
        <f ca="1">IF(Ruimtestaat!H302&gt;0,Schoonmaaknormen!BX302*calculatietarief,"")</f>
        <v/>
      </c>
      <c r="I302" s="193" t="str">
        <f ca="1">IF(Ruimtestaat!I302&gt;0,Schoonmaaknormen!BY302*calculatietarief,"")</f>
        <v/>
      </c>
      <c r="J302" s="193" t="str">
        <f ca="1">IF(Ruimtestaat!J302&gt;0,Schoonmaaknormen!BZ302*calculatietarief,"")</f>
        <v/>
      </c>
      <c r="K302" s="562" t="str">
        <f>IF(Ruimtestaat!K302&gt;0,Schoonmaaknormen!CA302*calculatietarief,"")</f>
        <v/>
      </c>
      <c r="L302" s="554"/>
      <c r="M302" s="172" t="b">
        <f>IF(_xlfn.XLOOKUP(Schoonmaaknormen!BB302,Tabel2[Locatiecode],Tabel2[Type locatie],"",0)="vaccin",TRUE,FALSE)</f>
        <v>0</v>
      </c>
    </row>
    <row r="303" spans="1:13" ht="15" customHeight="1" thickBot="1" x14ac:dyDescent="0.25">
      <c r="B303" s="195" t="s">
        <v>698</v>
      </c>
      <c r="C303" s="196"/>
      <c r="D303" s="197">
        <f ca="1">SUM(D3:D302)</f>
        <v>0</v>
      </c>
      <c r="E303" s="198">
        <f t="shared" ref="E303:K303" ca="1" si="0">SUM(E3:E302)</f>
        <v>0</v>
      </c>
      <c r="F303" s="198">
        <f t="shared" ca="1" si="0"/>
        <v>0</v>
      </c>
      <c r="G303" s="198">
        <f t="shared" ca="1" si="0"/>
        <v>0</v>
      </c>
      <c r="H303" s="198">
        <f t="shared" ca="1" si="0"/>
        <v>0</v>
      </c>
      <c r="I303" s="198">
        <f t="shared" ca="1" si="0"/>
        <v>0</v>
      </c>
      <c r="J303" s="199"/>
      <c r="K303" s="200">
        <f t="shared" si="0"/>
        <v>0</v>
      </c>
      <c r="L303" s="201">
        <f ca="1">SUM(D303:K303)</f>
        <v>0</v>
      </c>
    </row>
    <row r="305" spans="2:12" x14ac:dyDescent="0.2">
      <c r="L305" s="202"/>
    </row>
    <row r="306" spans="2:12" ht="12.75" thickBot="1" x14ac:dyDescent="0.25">
      <c r="B306" s="9" t="s">
        <v>680</v>
      </c>
    </row>
    <row r="307" spans="2:12" x14ac:dyDescent="0.2">
      <c r="B307" s="203" t="str">
        <f>B33</f>
        <v>ALK-OLW</v>
      </c>
      <c r="C307" s="204">
        <f ca="1">SUMIFS(Inventarisatie[Freq. Za],Inventarisatie[Locatie],B307,Inventarisatie[Categorie],"Sanitaire ruimte")/COUNTIFS(Inventarisatie[Locatie],B307,Inventarisatie[Categorie],"Sanitaire ruimte")</f>
        <v>52</v>
      </c>
      <c r="D307" s="205">
        <f ca="1">IFERROR(_xlfn.XLOOKUP($B307,Schoonmaaknormen!$BR$3:$BR$302,Schoonmaaknormen!$BT$3:$BT$302,0,0)/_xlfn.XLOOKUP($B307,Schoonmaaknormen!$BR$3:$BR$302,Schoonmaaknormen!$BS$3:$BS$302,0,0),0)*C307*'Toeslagenmatrix-tarieven'!$D$32</f>
        <v>0</v>
      </c>
      <c r="E307" s="183">
        <f ca="1">IFERROR(_xlfn.XLOOKUP($B307,Schoonmaaknormen!$BR$3:$BR$302,Schoonmaaknormen!$BU$3:$BU$302,0,0)/_xlfn.XLOOKUP($B307,Schoonmaaknormen!$BR$3:$BR$302,Schoonmaaknormen!$BS$3:$BS$302,0,0),0)*C307*'Toeslagenmatrix-tarieven'!$D$32</f>
        <v>0</v>
      </c>
      <c r="F307" s="183">
        <f ca="1">IFERROR(_xlfn.XLOOKUP($B307,Schoonmaaknormen!$BR$3:$BR$302,Schoonmaaknormen!$BV$3:$BV$302,0,0)/_xlfn.XLOOKUP($B307,Schoonmaaknormen!$BR$3:$BR$302,Schoonmaaknormen!$BS$3:$BS$302,0,0),0)*C307*'Toeslagenmatrix-tarieven'!$D$32</f>
        <v>0</v>
      </c>
      <c r="G307" s="183">
        <f ca="1">IFERROR(_xlfn.XLOOKUP($B307,Schoonmaaknormen!$BR$3:$BR$302,Schoonmaaknormen!$BW$3:$BW$302,0,0)/_xlfn.XLOOKUP($B307,Schoonmaaknormen!$BR$3:$BR$302,Schoonmaaknormen!$BS$3:$BS$302,0,0),0)*C307*'Toeslagenmatrix-tarieven'!$D$32</f>
        <v>0</v>
      </c>
      <c r="H307" s="183">
        <f ca="1">IFERROR(_xlfn.XLOOKUP($B307,Schoonmaaknormen!$BR$3:$BR$302,Schoonmaaknormen!$BX$3:$BX$302,0,0)/_xlfn.XLOOKUP($B307,Schoonmaaknormen!$BR$3:$BR$302,Schoonmaaknormen!$BS$3:$BS$302,0,0),0)*C307*'Toeslagenmatrix-tarieven'!$D$32</f>
        <v>0</v>
      </c>
      <c r="I307" s="183">
        <f ca="1">IFERROR(_xlfn.XLOOKUP($B307,Schoonmaaknormen!$BR$3:$BR$302,Schoonmaaknormen!$BY$3:$BY$302,0,0)/_xlfn.XLOOKUP($B307,Schoonmaaknormen!$BR$3:$BR$302,Schoonmaaknormen!$BS$3:$BS$302,0,0),0)*C307*'Toeslagenmatrix-tarieven'!$D$32</f>
        <v>0</v>
      </c>
      <c r="J307" s="183">
        <f ca="1">IFERROR(_xlfn.XLOOKUP($B307,Schoonmaaknormen!$BR$3:$BR$302,Schoonmaaknormen!$BZ$3:$BZ$302,0,0)/_xlfn.XLOOKUP($B307,Schoonmaaknormen!$BR$3:$BR$302,Schoonmaaknormen!$BS$3:$BS$302,0,0),0)*C307*'Toeslagenmatrix-tarieven'!$D$32</f>
        <v>0</v>
      </c>
      <c r="K307" s="206">
        <f ca="1">IFERROR(_xlfn.XLOOKUP($B307,Schoonmaaknormen!$BR$3:$BR$302,Schoonmaaknormen!$CA$3:$CA$302,0,0)/_xlfn.XLOOKUP($B307,Schoonmaaknormen!$BR$3:$BR$302,Schoonmaaknormen!$BS$3:$BS$302,0,0),0)*C307*'Toeslagenmatrix-tarieven'!$D$32</f>
        <v>0</v>
      </c>
      <c r="L307" s="207">
        <f ca="1">SUM(D307:K307)</f>
        <v>0</v>
      </c>
    </row>
    <row r="308" spans="2:12" x14ac:dyDescent="0.2">
      <c r="B308" s="108" t="str">
        <f>B75</f>
        <v>DHE-FBW</v>
      </c>
      <c r="C308" s="208">
        <f ca="1">SUMIFS(Inventarisatie[Freq. Za],Inventarisatie[Locatie],B308,Inventarisatie[Categorie],"Sanitaire ruimte")/COUNTIFS(Inventarisatie[Locatie],B308,Inventarisatie[Categorie],"Sanitaire ruimte")</f>
        <v>52</v>
      </c>
      <c r="D308" s="194">
        <f ca="1">IFERROR(_xlfn.XLOOKUP($B308,Schoonmaaknormen!$BR$3:$BR$302,Schoonmaaknormen!$BT$3:$BT$302,0,0)/_xlfn.XLOOKUP($B308,Schoonmaaknormen!$BR$3:$BR$302,Schoonmaaknormen!$BS$3:$BS$302,0,0),0)*C308*'Toeslagenmatrix-tarieven'!$D$32</f>
        <v>0</v>
      </c>
      <c r="E308" s="192">
        <f ca="1">IFERROR(_xlfn.XLOOKUP($B308,Schoonmaaknormen!$BR$3:$BR$302,Schoonmaaknormen!$BU$3:$BU$302,0,0)/_xlfn.XLOOKUP($B308,Schoonmaaknormen!$BR$3:$BR$302,Schoonmaaknormen!$BS$3:$BS$302,0,0),0)*C308*'Toeslagenmatrix-tarieven'!$D$32</f>
        <v>0</v>
      </c>
      <c r="F308" s="192">
        <f ca="1">IFERROR(_xlfn.XLOOKUP($B308,Schoonmaaknormen!$BR$3:$BR$302,Schoonmaaknormen!$BV$3:$BV$302,0,0)/_xlfn.XLOOKUP($B308,Schoonmaaknormen!$BR$3:$BR$302,Schoonmaaknormen!$BS$3:$BS$302,0,0),0)*C308*'Toeslagenmatrix-tarieven'!$D$32</f>
        <v>0</v>
      </c>
      <c r="G308" s="192">
        <f ca="1">IFERROR(_xlfn.XLOOKUP($B308,Schoonmaaknormen!$BR$3:$BR$302,Schoonmaaknormen!$BW$3:$BW$302,0,0)/_xlfn.XLOOKUP($B308,Schoonmaaknormen!$BR$3:$BR$302,Schoonmaaknormen!$BS$3:$BS$302,0,0),0)*C308*'Toeslagenmatrix-tarieven'!$D$32</f>
        <v>0</v>
      </c>
      <c r="H308" s="192">
        <f ca="1">IFERROR(_xlfn.XLOOKUP($B308,Schoonmaaknormen!$BR$3:$BR$302,Schoonmaaknormen!$BX$3:$BX$302,0,0)/_xlfn.XLOOKUP($B308,Schoonmaaknormen!$BR$3:$BR$302,Schoonmaaknormen!$BS$3:$BS$302,0,0),0)*C308*'Toeslagenmatrix-tarieven'!$D$32</f>
        <v>0</v>
      </c>
      <c r="I308" s="192">
        <f ca="1">IFERROR(_xlfn.XLOOKUP($B308,Schoonmaaknormen!$BR$3:$BR$302,Schoonmaaknormen!$BY$3:$BY$302,0,0)/_xlfn.XLOOKUP($B308,Schoonmaaknormen!$BR$3:$BR$302,Schoonmaaknormen!$BS$3:$BS$302,0,0),0)*C308*'Toeslagenmatrix-tarieven'!$D$32</f>
        <v>0</v>
      </c>
      <c r="J308" s="192">
        <f ca="1">IFERROR(_xlfn.XLOOKUP($B308,Schoonmaaknormen!$BR$3:$BR$302,Schoonmaaknormen!$BZ$3:$BZ$302,0,0)/_xlfn.XLOOKUP($B308,Schoonmaaknormen!$BR$3:$BR$302,Schoonmaaknormen!$BS$3:$BS$302,0,0),0)*C308*'Toeslagenmatrix-tarieven'!$D$32</f>
        <v>0</v>
      </c>
      <c r="K308" s="209">
        <f ca="1">IFERROR(_xlfn.XLOOKUP($B308,Schoonmaaknormen!$BR$3:$BR$302,Schoonmaaknormen!$CA$3:$CA$302,0,0)/_xlfn.XLOOKUP($B308,Schoonmaaknormen!$BR$3:$BR$302,Schoonmaaknormen!$BS$3:$BS$302,0,0),0)*C308*'Toeslagenmatrix-tarieven'!$D$32</f>
        <v>0</v>
      </c>
      <c r="L308" s="210">
        <f t="shared" ref="L308:L309" ca="1" si="1">SUM(D308:K308)</f>
        <v>0</v>
      </c>
    </row>
    <row r="309" spans="2:12" ht="12.75" thickBot="1" x14ac:dyDescent="0.25">
      <c r="B309" s="108" t="str">
        <f>B123</f>
        <v>HVH-TWG</v>
      </c>
      <c r="C309" s="208">
        <f ca="1">SUMIFS(Inventarisatie[Freq. Za],Inventarisatie[Locatie],B309,Inventarisatie[Categorie],"Sanitaire ruimte")/COUNTIFS(Inventarisatie[Locatie],B309,Inventarisatie[Categorie],"Sanitaire ruimte")</f>
        <v>52</v>
      </c>
      <c r="D309" s="194">
        <f ca="1">IFERROR(_xlfn.XLOOKUP($B309,Schoonmaaknormen!$BR$3:$BR$302,Schoonmaaknormen!$BT$3:$BT$302,0,0)/_xlfn.XLOOKUP($B309,Schoonmaaknormen!$BR$3:$BR$302,Schoonmaaknormen!$BS$3:$BS$302,0,0),0)*C309*'Toeslagenmatrix-tarieven'!$D$32</f>
        <v>0</v>
      </c>
      <c r="E309" s="192">
        <f ca="1">IFERROR(_xlfn.XLOOKUP($B309,Schoonmaaknormen!$BR$3:$BR$302,Schoonmaaknormen!$BU$3:$BU$302,0,0)/_xlfn.XLOOKUP($B309,Schoonmaaknormen!$BR$3:$BR$302,Schoonmaaknormen!$BS$3:$BS$302,0,0),0)*C309*'Toeslagenmatrix-tarieven'!$D$32</f>
        <v>0</v>
      </c>
      <c r="F309" s="192">
        <f ca="1">IFERROR(_xlfn.XLOOKUP($B309,Schoonmaaknormen!$BR$3:$BR$302,Schoonmaaknormen!$BV$3:$BV$302,0,0)/_xlfn.XLOOKUP($B309,Schoonmaaknormen!$BR$3:$BR$302,Schoonmaaknormen!$BS$3:$BS$302,0,0),0)*C309*'Toeslagenmatrix-tarieven'!$D$32</f>
        <v>0</v>
      </c>
      <c r="G309" s="192">
        <f ca="1">IFERROR(_xlfn.XLOOKUP($B309,Schoonmaaknormen!$BR$3:$BR$302,Schoonmaaknormen!$BW$3:$BW$302,0,0)/_xlfn.XLOOKUP($B309,Schoonmaaknormen!$BR$3:$BR$302,Schoonmaaknormen!$BS$3:$BS$302,0,0),0)*C309*'Toeslagenmatrix-tarieven'!$D$32</f>
        <v>0</v>
      </c>
      <c r="H309" s="192">
        <f ca="1">IFERROR(_xlfn.XLOOKUP($B309,Schoonmaaknormen!$BR$3:$BR$302,Schoonmaaknormen!$BX$3:$BX$302,0,0)/_xlfn.XLOOKUP($B309,Schoonmaaknormen!$BR$3:$BR$302,Schoonmaaknormen!$BS$3:$BS$302,0,0),0)*C309*'Toeslagenmatrix-tarieven'!$D$32</f>
        <v>0</v>
      </c>
      <c r="I309" s="192">
        <f ca="1">IFERROR(_xlfn.XLOOKUP($B309,Schoonmaaknormen!$BR$3:$BR$302,Schoonmaaknormen!$BY$3:$BY$302,0,0)/_xlfn.XLOOKUP($B309,Schoonmaaknormen!$BR$3:$BR$302,Schoonmaaknormen!$BS$3:$BS$302,0,0),0)*C309*'Toeslagenmatrix-tarieven'!$D$32</f>
        <v>0</v>
      </c>
      <c r="J309" s="192">
        <f ca="1">IFERROR(_xlfn.XLOOKUP($B309,Schoonmaaknormen!$BR$3:$BR$302,Schoonmaaknormen!$BZ$3:$BZ$302,0,0)/_xlfn.XLOOKUP($B309,Schoonmaaknormen!$BR$3:$BR$302,Schoonmaaknormen!$BS$3:$BS$302,0,0),0)*C309*'Toeslagenmatrix-tarieven'!$D$32</f>
        <v>0</v>
      </c>
      <c r="K309" s="209">
        <f ca="1">IFERROR(_xlfn.XLOOKUP($B309,Schoonmaaknormen!$BR$3:$BR$302,Schoonmaaknormen!$CA$3:$CA$302,0,0)/_xlfn.XLOOKUP($B309,Schoonmaaknormen!$BR$3:$BR$302,Schoonmaaknormen!$BS$3:$BS$302,0,0),0)*C309*'Toeslagenmatrix-tarieven'!$D$32</f>
        <v>0</v>
      </c>
      <c r="L309" s="210">
        <f t="shared" ca="1" si="1"/>
        <v>0</v>
      </c>
    </row>
    <row r="310" spans="2:12" ht="12.75" thickBot="1" x14ac:dyDescent="0.25">
      <c r="B310" s="173" t="s">
        <v>683</v>
      </c>
      <c r="C310" s="174"/>
      <c r="D310" s="197">
        <f t="shared" ref="D310:L310" ca="1" si="2">SUM(D307:D309)</f>
        <v>0</v>
      </c>
      <c r="E310" s="198">
        <f t="shared" ca="1" si="2"/>
        <v>0</v>
      </c>
      <c r="F310" s="198">
        <f t="shared" ca="1" si="2"/>
        <v>0</v>
      </c>
      <c r="G310" s="198">
        <f t="shared" ca="1" si="2"/>
        <v>0</v>
      </c>
      <c r="H310" s="198">
        <f t="shared" ca="1" si="2"/>
        <v>0</v>
      </c>
      <c r="I310" s="198">
        <f t="shared" ca="1" si="2"/>
        <v>0</v>
      </c>
      <c r="J310" s="198">
        <f t="shared" ca="1" si="2"/>
        <v>0</v>
      </c>
      <c r="K310" s="200">
        <f t="shared" ca="1" si="2"/>
        <v>0</v>
      </c>
      <c r="L310" s="201">
        <f t="shared" ca="1" si="2"/>
        <v>0</v>
      </c>
    </row>
    <row r="312" spans="2:12" ht="12.75" thickBot="1" x14ac:dyDescent="0.25">
      <c r="B312" s="9" t="s">
        <v>681</v>
      </c>
    </row>
    <row r="313" spans="2:12" x14ac:dyDescent="0.2">
      <c r="B313" s="203" t="str">
        <f>B307</f>
        <v>ALK-OLW</v>
      </c>
      <c r="C313" s="204">
        <f ca="1">SUMIFS(Inventarisatie[Freq. Zo],Inventarisatie[Locatie],B313,Inventarisatie[Categorie],"Sanitaire ruimte")/COUNTIFS(Inventarisatie[Locatie],B313,Inventarisatie[Categorie],"Sanitaire ruimte")</f>
        <v>49</v>
      </c>
      <c r="D313" s="205">
        <f ca="1">IFERROR(_xlfn.XLOOKUP($B313,Schoonmaaknormen!$BR$3:$BR$302,Schoonmaaknormen!$BT$3:$BT$302,0,0)/_xlfn.XLOOKUP($B313,Schoonmaaknormen!$BR$3:$BR$302,Schoonmaaknormen!$BS$3:$BS$302,0,0),0)*C313*'Toeslagenmatrix-tarieven'!$D$32</f>
        <v>0</v>
      </c>
      <c r="E313" s="183">
        <f ca="1">IFERROR(_xlfn.XLOOKUP($B313,Schoonmaaknormen!$BR$3:$BR$302,Schoonmaaknormen!$BU$3:$BU$302,0,0)/_xlfn.XLOOKUP($B313,Schoonmaaknormen!$BR$3:$BR$302,Schoonmaaknormen!$BS$3:$BS$302,0,0),0)*C313*'Toeslagenmatrix-tarieven'!$D$32</f>
        <v>0</v>
      </c>
      <c r="F313" s="183">
        <f ca="1">IFERROR(_xlfn.XLOOKUP($B313,Schoonmaaknormen!$BR$3:$BR$302,Schoonmaaknormen!$BV$3:$BV$302,0,0)/_xlfn.XLOOKUP($B313,Schoonmaaknormen!$BR$3:$BR$302,Schoonmaaknormen!$BS$3:$BS$302,0,0),0)*C313*'Toeslagenmatrix-tarieven'!$D$32</f>
        <v>0</v>
      </c>
      <c r="G313" s="183">
        <f ca="1">IFERROR(_xlfn.XLOOKUP($B313,Schoonmaaknormen!$BR$3:$BR$302,Schoonmaaknormen!$BW$3:$BW$302,0,0)/_xlfn.XLOOKUP($B313,Schoonmaaknormen!$BR$3:$BR$302,Schoonmaaknormen!$BS$3:$BS$302,0,0),0)*C313*'Toeslagenmatrix-tarieven'!$D$32</f>
        <v>0</v>
      </c>
      <c r="H313" s="183">
        <f ca="1">IFERROR(_xlfn.XLOOKUP($B313,Schoonmaaknormen!$BR$3:$BR$302,Schoonmaaknormen!$BX$3:$BX$302,0,0)/_xlfn.XLOOKUP($B313,Schoonmaaknormen!$BR$3:$BR$302,Schoonmaaknormen!$BS$3:$BS$302,0,0),0)*C313*'Toeslagenmatrix-tarieven'!$D$32</f>
        <v>0</v>
      </c>
      <c r="I313" s="183">
        <f ca="1">IFERROR(_xlfn.XLOOKUP($B313,Schoonmaaknormen!$BR$3:$BR$302,Schoonmaaknormen!$BY$3:$BY$302,0,0)/_xlfn.XLOOKUP($B313,Schoonmaaknormen!$BR$3:$BR$302,Schoonmaaknormen!$BS$3:$BS$302,0,0),0)*C313*'Toeslagenmatrix-tarieven'!$D$32</f>
        <v>0</v>
      </c>
      <c r="J313" s="183">
        <f ca="1">IFERROR(_xlfn.XLOOKUP($B313,Schoonmaaknormen!$BR$3:$BR$302,Schoonmaaknormen!$BZ$3:$BZ$302,0,0)/_xlfn.XLOOKUP($B313,Schoonmaaknormen!$BR$3:$BR$302,Schoonmaaknormen!$BS$3:$BS$302,0,0),0)*C313*'Toeslagenmatrix-tarieven'!$D$32</f>
        <v>0</v>
      </c>
      <c r="K313" s="206">
        <f ca="1">IFERROR(_xlfn.XLOOKUP($B313,Schoonmaaknormen!$BR$3:$BR$302,Schoonmaaknormen!$CA$3:$CA$302,0,0)/_xlfn.XLOOKUP($B313,Schoonmaaknormen!$BR$3:$BR$302,Schoonmaaknormen!$BS$3:$BS$302,0,0),0)*C313*'Toeslagenmatrix-tarieven'!$D$32</f>
        <v>0</v>
      </c>
      <c r="L313" s="207">
        <f ca="1">SUM(D313:K313)</f>
        <v>0</v>
      </c>
    </row>
    <row r="314" spans="2:12" x14ac:dyDescent="0.2">
      <c r="B314" s="108" t="str">
        <f>B308</f>
        <v>DHE-FBW</v>
      </c>
      <c r="C314" s="208">
        <f ca="1">SUMIFS(Inventarisatie[Freq. Zo],Inventarisatie[Locatie],B314,Inventarisatie[Categorie],"Sanitaire ruimte")/COUNTIFS(Inventarisatie[Locatie],B314,Inventarisatie[Categorie],"Sanitaire ruimte")</f>
        <v>49</v>
      </c>
      <c r="D314" s="194">
        <f ca="1">IFERROR(_xlfn.XLOOKUP($B314,Schoonmaaknormen!$BR$3:$BR$302,Schoonmaaknormen!$BT$3:$BT$302,0,0)/_xlfn.XLOOKUP($B314,Schoonmaaknormen!$BR$3:$BR$302,Schoonmaaknormen!$BS$3:$BS$302,0,0),0)*C314*'Toeslagenmatrix-tarieven'!$D$32</f>
        <v>0</v>
      </c>
      <c r="E314" s="192">
        <f ca="1">IFERROR(_xlfn.XLOOKUP($B314,Schoonmaaknormen!$BR$3:$BR$302,Schoonmaaknormen!$BU$3:$BU$302,0,0)/_xlfn.XLOOKUP($B314,Schoonmaaknormen!$BR$3:$BR$302,Schoonmaaknormen!$BS$3:$BS$302,0,0),0)*C314*'Toeslagenmatrix-tarieven'!$D$32</f>
        <v>0</v>
      </c>
      <c r="F314" s="192">
        <f ca="1">IFERROR(_xlfn.XLOOKUP($B314,Schoonmaaknormen!$BR$3:$BR$302,Schoonmaaknormen!$BV$3:$BV$302,0,0)/_xlfn.XLOOKUP($B314,Schoonmaaknormen!$BR$3:$BR$302,Schoonmaaknormen!$BS$3:$BS$302,0,0),0)*C314*'Toeslagenmatrix-tarieven'!$D$32</f>
        <v>0</v>
      </c>
      <c r="G314" s="192">
        <f ca="1">IFERROR(_xlfn.XLOOKUP($B314,Schoonmaaknormen!$BR$3:$BR$302,Schoonmaaknormen!$BW$3:$BW$302,0,0)/_xlfn.XLOOKUP($B314,Schoonmaaknormen!$BR$3:$BR$302,Schoonmaaknormen!$BS$3:$BS$302,0,0),0)*C314*'Toeslagenmatrix-tarieven'!$D$32</f>
        <v>0</v>
      </c>
      <c r="H314" s="192">
        <f ca="1">IFERROR(_xlfn.XLOOKUP($B314,Schoonmaaknormen!$BR$3:$BR$302,Schoonmaaknormen!$BX$3:$BX$302,0,0)/_xlfn.XLOOKUP($B314,Schoonmaaknormen!$BR$3:$BR$302,Schoonmaaknormen!$BS$3:$BS$302,0,0),0)*C314*'Toeslagenmatrix-tarieven'!$D$32</f>
        <v>0</v>
      </c>
      <c r="I314" s="192">
        <f ca="1">IFERROR(_xlfn.XLOOKUP($B314,Schoonmaaknormen!$BR$3:$BR$302,Schoonmaaknormen!$BY$3:$BY$302,0,0)/_xlfn.XLOOKUP($B314,Schoonmaaknormen!$BR$3:$BR$302,Schoonmaaknormen!$BS$3:$BS$302,0,0),0)*C314*'Toeslagenmatrix-tarieven'!$D$32</f>
        <v>0</v>
      </c>
      <c r="J314" s="192">
        <f ca="1">IFERROR(_xlfn.XLOOKUP($B314,Schoonmaaknormen!$BR$3:$BR$302,Schoonmaaknormen!$BZ$3:$BZ$302,0,0)/_xlfn.XLOOKUP($B314,Schoonmaaknormen!$BR$3:$BR$302,Schoonmaaknormen!$BS$3:$BS$302,0,0),0)*C314*'Toeslagenmatrix-tarieven'!$D$32</f>
        <v>0</v>
      </c>
      <c r="K314" s="209">
        <f ca="1">IFERROR(_xlfn.XLOOKUP($B314,Schoonmaaknormen!$BR$3:$BR$302,Schoonmaaknormen!$CA$3:$CA$302,0,0)/_xlfn.XLOOKUP($B314,Schoonmaaknormen!$BR$3:$BR$302,Schoonmaaknormen!$BS$3:$BS$302,0,0),0)*C314*'Toeslagenmatrix-tarieven'!$D$32</f>
        <v>0</v>
      </c>
      <c r="L314" s="210">
        <f t="shared" ref="L314:L315" ca="1" si="3">SUM(D314:K314)</f>
        <v>0</v>
      </c>
    </row>
    <row r="315" spans="2:12" ht="12.75" thickBot="1" x14ac:dyDescent="0.25">
      <c r="B315" s="108" t="str">
        <f>B309</f>
        <v>HVH-TWG</v>
      </c>
      <c r="C315" s="208">
        <f ca="1">SUMIFS(Inventarisatie[Freq. Zo],Inventarisatie[Locatie],B315,Inventarisatie[Categorie],"Sanitaire ruimte")/COUNTIFS(Inventarisatie[Locatie],B315,Inventarisatie[Categorie],"Sanitaire ruimte")</f>
        <v>49</v>
      </c>
      <c r="D315" s="194">
        <f ca="1">IFERROR(_xlfn.XLOOKUP($B315,Schoonmaaknormen!$BR$3:$BR$302,Schoonmaaknormen!$BT$3:$BT$302,0,0)/_xlfn.XLOOKUP($B315,Schoonmaaknormen!$BR$3:$BR$302,Schoonmaaknormen!$BS$3:$BS$302,0,0),0)*C315*'Toeslagenmatrix-tarieven'!$D$32</f>
        <v>0</v>
      </c>
      <c r="E315" s="192">
        <f ca="1">IFERROR(_xlfn.XLOOKUP($B315,Schoonmaaknormen!$BR$3:$BR$302,Schoonmaaknormen!$BU$3:$BU$302,0,0)/_xlfn.XLOOKUP($B315,Schoonmaaknormen!$BR$3:$BR$302,Schoonmaaknormen!$BS$3:$BS$302,0,0),0)*C315*'Toeslagenmatrix-tarieven'!$D$32</f>
        <v>0</v>
      </c>
      <c r="F315" s="192">
        <f ca="1">IFERROR(_xlfn.XLOOKUP($B315,Schoonmaaknormen!$BR$3:$BR$302,Schoonmaaknormen!$BV$3:$BV$302,0,0)/_xlfn.XLOOKUP($B315,Schoonmaaknormen!$BR$3:$BR$302,Schoonmaaknormen!$BS$3:$BS$302,0,0),0)*C315*'Toeslagenmatrix-tarieven'!$D$32</f>
        <v>0</v>
      </c>
      <c r="G315" s="192">
        <f ca="1">IFERROR(_xlfn.XLOOKUP($B315,Schoonmaaknormen!$BR$3:$BR$302,Schoonmaaknormen!$BW$3:$BW$302,0,0)/_xlfn.XLOOKUP($B315,Schoonmaaknormen!$BR$3:$BR$302,Schoonmaaknormen!$BS$3:$BS$302,0,0),0)*C315*'Toeslagenmatrix-tarieven'!$D$32</f>
        <v>0</v>
      </c>
      <c r="H315" s="192">
        <f ca="1">IFERROR(_xlfn.XLOOKUP($B315,Schoonmaaknormen!$BR$3:$BR$302,Schoonmaaknormen!$BX$3:$BX$302,0,0)/_xlfn.XLOOKUP($B315,Schoonmaaknormen!$BR$3:$BR$302,Schoonmaaknormen!$BS$3:$BS$302,0,0),0)*C315*'Toeslagenmatrix-tarieven'!$D$32</f>
        <v>0</v>
      </c>
      <c r="I315" s="192">
        <f ca="1">IFERROR(_xlfn.XLOOKUP($B315,Schoonmaaknormen!$BR$3:$BR$302,Schoonmaaknormen!$BY$3:$BY$302,0,0)/_xlfn.XLOOKUP($B315,Schoonmaaknormen!$BR$3:$BR$302,Schoonmaaknormen!$BS$3:$BS$302,0,0),0)*C315*'Toeslagenmatrix-tarieven'!$D$32</f>
        <v>0</v>
      </c>
      <c r="J315" s="192">
        <f ca="1">IFERROR(_xlfn.XLOOKUP($B315,Schoonmaaknormen!$BR$3:$BR$302,Schoonmaaknormen!$BZ$3:$BZ$302,0,0)/_xlfn.XLOOKUP($B315,Schoonmaaknormen!$BR$3:$BR$302,Schoonmaaknormen!$BS$3:$BS$302,0,0),0)*C315*'Toeslagenmatrix-tarieven'!$D$32</f>
        <v>0</v>
      </c>
      <c r="K315" s="209">
        <f ca="1">IFERROR(_xlfn.XLOOKUP($B315,Schoonmaaknormen!$BR$3:$BR$302,Schoonmaaknormen!$CA$3:$CA$302,0,0)/_xlfn.XLOOKUP($B315,Schoonmaaknormen!$BR$3:$BR$302,Schoonmaaknormen!$BS$3:$BS$302,0,0),0)*C315*'Toeslagenmatrix-tarieven'!$D$32</f>
        <v>0</v>
      </c>
      <c r="L315" s="210">
        <f t="shared" ca="1" si="3"/>
        <v>0</v>
      </c>
    </row>
    <row r="316" spans="2:12" ht="12.75" thickBot="1" x14ac:dyDescent="0.25">
      <c r="B316" s="173" t="s">
        <v>682</v>
      </c>
      <c r="C316" s="174"/>
      <c r="D316" s="197">
        <f t="shared" ref="D316:L316" ca="1" si="4">SUM(D313:D315)</f>
        <v>0</v>
      </c>
      <c r="E316" s="198">
        <f t="shared" ca="1" si="4"/>
        <v>0</v>
      </c>
      <c r="F316" s="198">
        <f t="shared" ca="1" si="4"/>
        <v>0</v>
      </c>
      <c r="G316" s="198">
        <f t="shared" ca="1" si="4"/>
        <v>0</v>
      </c>
      <c r="H316" s="198">
        <f t="shared" ca="1" si="4"/>
        <v>0</v>
      </c>
      <c r="I316" s="198">
        <f t="shared" ca="1" si="4"/>
        <v>0</v>
      </c>
      <c r="J316" s="198">
        <f t="shared" ca="1" si="4"/>
        <v>0</v>
      </c>
      <c r="K316" s="200">
        <f t="shared" ca="1" si="4"/>
        <v>0</v>
      </c>
      <c r="L316" s="201">
        <f t="shared" ca="1" si="4"/>
        <v>0</v>
      </c>
    </row>
    <row r="318" spans="2:12" ht="12.75" thickBot="1" x14ac:dyDescent="0.25">
      <c r="B318" s="9" t="s">
        <v>684</v>
      </c>
    </row>
    <row r="319" spans="2:12" x14ac:dyDescent="0.2">
      <c r="B319" s="203" t="str">
        <f>B313</f>
        <v>ALK-OLW</v>
      </c>
      <c r="C319" s="204">
        <f ca="1">SUMIFS(Inventarisatie[Freq. Fe],Inventarisatie[Locatie],B319,Inventarisatie[Categorie],"Sanitaire ruimte")/COUNTIFS(Inventarisatie[Locatie],B319,Inventarisatie[Categorie],"Sanitaire ruimte")</f>
        <v>9</v>
      </c>
      <c r="D319" s="205">
        <f ca="1">IFERROR(_xlfn.XLOOKUP($B319,Schoonmaaknormen!$BR$3:$BR$302,Schoonmaaknormen!$BT$3:$BT$302,0,0)/_xlfn.XLOOKUP($B319,Schoonmaaknormen!$BR$3:$BR$302,Schoonmaaknormen!$BS$3:$BS$302,0,0),0)*C319*'Toeslagenmatrix-tarieven'!$E$32</f>
        <v>0</v>
      </c>
      <c r="E319" s="183">
        <f ca="1">IFERROR(_xlfn.XLOOKUP($B319,Schoonmaaknormen!$BR$3:$BR$302,Schoonmaaknormen!$BU$3:$BU$302,0,0)/_xlfn.XLOOKUP($B319,Schoonmaaknormen!$BR$3:$BR$302,Schoonmaaknormen!$BS$3:$BS$302,0,0),0)*C319*'Toeslagenmatrix-tarieven'!$E$32</f>
        <v>0</v>
      </c>
      <c r="F319" s="183">
        <f ca="1">IFERROR(_xlfn.XLOOKUP($B319,Schoonmaaknormen!$BR$3:$BR$302,Schoonmaaknormen!$BV$3:$BV$302,0,0)/_xlfn.XLOOKUP($B319,Schoonmaaknormen!$BR$3:$BR$302,Schoonmaaknormen!$BS$3:$BS$302,0,0),0)*C319*'Toeslagenmatrix-tarieven'!$E$32</f>
        <v>0</v>
      </c>
      <c r="G319" s="183">
        <f ca="1">IFERROR(_xlfn.XLOOKUP($B319,Schoonmaaknormen!$BR$3:$BR$302,Schoonmaaknormen!$BW$3:$BW$302,0,0)/_xlfn.XLOOKUP($B319,Schoonmaaknormen!$BR$3:$BR$302,Schoonmaaknormen!$BS$3:$BS$302,0,0),0)*C319*'Toeslagenmatrix-tarieven'!$E$32</f>
        <v>0</v>
      </c>
      <c r="H319" s="183">
        <f ca="1">IFERROR(_xlfn.XLOOKUP($B319,Schoonmaaknormen!$BR$3:$BR$302,Schoonmaaknormen!$BX$3:$BX$302,0,0)/_xlfn.XLOOKUP($B319,Schoonmaaknormen!$BR$3:$BR$302,Schoonmaaknormen!$BS$3:$BS$302,0,0),0)*C319*'Toeslagenmatrix-tarieven'!$E$32</f>
        <v>0</v>
      </c>
      <c r="I319" s="183">
        <f ca="1">IFERROR(_xlfn.XLOOKUP($B319,Schoonmaaknormen!$BR$3:$BR$302,Schoonmaaknormen!$BY$3:$BY$302,0,0)/_xlfn.XLOOKUP($B319,Schoonmaaknormen!$BR$3:$BR$302,Schoonmaaknormen!$BS$3:$BS$302,0,0),0)*C319*'Toeslagenmatrix-tarieven'!$E$32</f>
        <v>0</v>
      </c>
      <c r="J319" s="183">
        <f ca="1">IFERROR(_xlfn.XLOOKUP($B319,Schoonmaaknormen!$BR$3:$BR$302,Schoonmaaknormen!$BZ$3:$BZ$302,0,0)/_xlfn.XLOOKUP($B319,Schoonmaaknormen!$BR$3:$BR$302,Schoonmaaknormen!$BS$3:$BS$302,0,0),0)*C319*'Toeslagenmatrix-tarieven'!$E$32</f>
        <v>0</v>
      </c>
      <c r="K319" s="206">
        <f ca="1">IFERROR(_xlfn.XLOOKUP($B319,Schoonmaaknormen!$BR$3:$BR$302,Schoonmaaknormen!$CA$3:$CA$302,0,0)/_xlfn.XLOOKUP($B319,Schoonmaaknormen!$BR$3:$BR$302,Schoonmaaknormen!$BS$3:$BS$302,0,0),0)*C319*'Toeslagenmatrix-tarieven'!$E$32</f>
        <v>0</v>
      </c>
      <c r="L319" s="207">
        <f ca="1">SUM(D319:K319)</f>
        <v>0</v>
      </c>
    </row>
    <row r="320" spans="2:12" x14ac:dyDescent="0.2">
      <c r="B320" s="108" t="str">
        <f>B314</f>
        <v>DHE-FBW</v>
      </c>
      <c r="C320" s="208">
        <f ca="1">SUMIFS(Inventarisatie[Freq. Fe],Inventarisatie[Locatie],B320,Inventarisatie[Categorie],"Sanitaire ruimte")/COUNTIFS(Inventarisatie[Locatie],B320,Inventarisatie[Categorie],"Sanitaire ruimte")</f>
        <v>9</v>
      </c>
      <c r="D320" s="194">
        <f ca="1">IFERROR(_xlfn.XLOOKUP($B320,Schoonmaaknormen!$BR$3:$BR$302,Schoonmaaknormen!$BT$3:$BT$302,0,0)/_xlfn.XLOOKUP($B320,Schoonmaaknormen!$BR$3:$BR$302,Schoonmaaknormen!$BS$3:$BS$302,0,0),0)*C320*'Toeslagenmatrix-tarieven'!$E$32</f>
        <v>0</v>
      </c>
      <c r="E320" s="192">
        <f ca="1">IFERROR(_xlfn.XLOOKUP($B320,Schoonmaaknormen!$BR$3:$BR$302,Schoonmaaknormen!$BU$3:$BU$302,0,0)/_xlfn.XLOOKUP($B320,Schoonmaaknormen!$BR$3:$BR$302,Schoonmaaknormen!$BS$3:$BS$302,0,0),0)*C320*'Toeslagenmatrix-tarieven'!$E$32</f>
        <v>0</v>
      </c>
      <c r="F320" s="192">
        <f ca="1">IFERROR(_xlfn.XLOOKUP($B320,Schoonmaaknormen!$BR$3:$BR$302,Schoonmaaknormen!$BV$3:$BV$302,0,0)/_xlfn.XLOOKUP($B320,Schoonmaaknormen!$BR$3:$BR$302,Schoonmaaknormen!$BS$3:$BS$302,0,0),0)*C320*'Toeslagenmatrix-tarieven'!$E$32</f>
        <v>0</v>
      </c>
      <c r="G320" s="192">
        <f ca="1">IFERROR(_xlfn.XLOOKUP($B320,Schoonmaaknormen!$BR$3:$BR$302,Schoonmaaknormen!$BW$3:$BW$302,0,0)/_xlfn.XLOOKUP($B320,Schoonmaaknormen!$BR$3:$BR$302,Schoonmaaknormen!$BS$3:$BS$302,0,0),0)*C320*'Toeslagenmatrix-tarieven'!$E$32</f>
        <v>0</v>
      </c>
      <c r="H320" s="192">
        <f ca="1">IFERROR(_xlfn.XLOOKUP($B320,Schoonmaaknormen!$BR$3:$BR$302,Schoonmaaknormen!$BX$3:$BX$302,0,0)/_xlfn.XLOOKUP($B320,Schoonmaaknormen!$BR$3:$BR$302,Schoonmaaknormen!$BS$3:$BS$302,0,0),0)*C320*'Toeslagenmatrix-tarieven'!$E$32</f>
        <v>0</v>
      </c>
      <c r="I320" s="192">
        <f ca="1">IFERROR(_xlfn.XLOOKUP($B320,Schoonmaaknormen!$BR$3:$BR$302,Schoonmaaknormen!$BY$3:$BY$302,0,0)/_xlfn.XLOOKUP($B320,Schoonmaaknormen!$BR$3:$BR$302,Schoonmaaknormen!$BS$3:$BS$302,0,0),0)*C320*'Toeslagenmatrix-tarieven'!$E$32</f>
        <v>0</v>
      </c>
      <c r="J320" s="192">
        <f ca="1">IFERROR(_xlfn.XLOOKUP($B320,Schoonmaaknormen!$BR$3:$BR$302,Schoonmaaknormen!$BZ$3:$BZ$302,0,0)/_xlfn.XLOOKUP($B320,Schoonmaaknormen!$BR$3:$BR$302,Schoonmaaknormen!$BS$3:$BS$302,0,0),0)*C320*'Toeslagenmatrix-tarieven'!$E$32</f>
        <v>0</v>
      </c>
      <c r="K320" s="209">
        <f ca="1">IFERROR(_xlfn.XLOOKUP($B320,Schoonmaaknormen!$BR$3:$BR$302,Schoonmaaknormen!$CA$3:$CA$302,0,0)/_xlfn.XLOOKUP($B320,Schoonmaaknormen!$BR$3:$BR$302,Schoonmaaknormen!$BS$3:$BS$302,0,0),0)*C320*'Toeslagenmatrix-tarieven'!$E$32</f>
        <v>0</v>
      </c>
      <c r="L320" s="210">
        <f t="shared" ref="L320:L321" ca="1" si="5">SUM(D320:K320)</f>
        <v>0</v>
      </c>
    </row>
    <row r="321" spans="2:12" ht="12.75" thickBot="1" x14ac:dyDescent="0.25">
      <c r="B321" s="108" t="str">
        <f>B315</f>
        <v>HVH-TWG</v>
      </c>
      <c r="C321" s="208">
        <f ca="1">SUMIFS(Inventarisatie[Freq. Fe],Inventarisatie[Locatie],B321,Inventarisatie[Categorie],"Sanitaire ruimte")/COUNTIFS(Inventarisatie[Locatie],B321,Inventarisatie[Categorie],"Sanitaire ruimte")</f>
        <v>9</v>
      </c>
      <c r="D321" s="194">
        <f ca="1">IFERROR(_xlfn.XLOOKUP($B321,Schoonmaaknormen!$BR$3:$BR$302,Schoonmaaknormen!$BT$3:$BT$302,0,0)/_xlfn.XLOOKUP($B321,Schoonmaaknormen!$BR$3:$BR$302,Schoonmaaknormen!$BS$3:$BS$302,0,0),0)*C321*'Toeslagenmatrix-tarieven'!$E$32</f>
        <v>0</v>
      </c>
      <c r="E321" s="192">
        <f ca="1">IFERROR(_xlfn.XLOOKUP($B321,Schoonmaaknormen!$BR$3:$BR$302,Schoonmaaknormen!$BU$3:$BU$302,0,0)/_xlfn.XLOOKUP($B321,Schoonmaaknormen!$BR$3:$BR$302,Schoonmaaknormen!$BS$3:$BS$302,0,0),0)*C321*'Toeslagenmatrix-tarieven'!$E$32</f>
        <v>0</v>
      </c>
      <c r="F321" s="192">
        <f ca="1">IFERROR(_xlfn.XLOOKUP($B321,Schoonmaaknormen!$BR$3:$BR$302,Schoonmaaknormen!$BV$3:$BV$302,0,0)/_xlfn.XLOOKUP($B321,Schoonmaaknormen!$BR$3:$BR$302,Schoonmaaknormen!$BS$3:$BS$302,0,0),0)*C321*'Toeslagenmatrix-tarieven'!$E$32</f>
        <v>0</v>
      </c>
      <c r="G321" s="192">
        <f ca="1">IFERROR(_xlfn.XLOOKUP($B321,Schoonmaaknormen!$BR$3:$BR$302,Schoonmaaknormen!$BW$3:$BW$302,0,0)/_xlfn.XLOOKUP($B321,Schoonmaaknormen!$BR$3:$BR$302,Schoonmaaknormen!$BS$3:$BS$302,0,0),0)*C321*'Toeslagenmatrix-tarieven'!$E$32</f>
        <v>0</v>
      </c>
      <c r="H321" s="192">
        <f ca="1">IFERROR(_xlfn.XLOOKUP($B321,Schoonmaaknormen!$BR$3:$BR$302,Schoonmaaknormen!$BX$3:$BX$302,0,0)/_xlfn.XLOOKUP($B321,Schoonmaaknormen!$BR$3:$BR$302,Schoonmaaknormen!$BS$3:$BS$302,0,0),0)*C321*'Toeslagenmatrix-tarieven'!$E$32</f>
        <v>0</v>
      </c>
      <c r="I321" s="192">
        <f ca="1">IFERROR(_xlfn.XLOOKUP($B321,Schoonmaaknormen!$BR$3:$BR$302,Schoonmaaknormen!$BY$3:$BY$302,0,0)/_xlfn.XLOOKUP($B321,Schoonmaaknormen!$BR$3:$BR$302,Schoonmaaknormen!$BS$3:$BS$302,0,0),0)*C321*'Toeslagenmatrix-tarieven'!$E$32</f>
        <v>0</v>
      </c>
      <c r="J321" s="192">
        <f ca="1">IFERROR(_xlfn.XLOOKUP($B321,Schoonmaaknormen!$BR$3:$BR$302,Schoonmaaknormen!$BZ$3:$BZ$302,0,0)/_xlfn.XLOOKUP($B321,Schoonmaaknormen!$BR$3:$BR$302,Schoonmaaknormen!$BS$3:$BS$302,0,0),0)*C321*'Toeslagenmatrix-tarieven'!$E$32</f>
        <v>0</v>
      </c>
      <c r="K321" s="209">
        <f ca="1">IFERROR(_xlfn.XLOOKUP($B321,Schoonmaaknormen!$BR$3:$BR$302,Schoonmaaknormen!$CA$3:$CA$302,0,0)/_xlfn.XLOOKUP($B321,Schoonmaaknormen!$BR$3:$BR$302,Schoonmaaknormen!$BS$3:$BS$302,0,0),0)*C321*'Toeslagenmatrix-tarieven'!$E$32</f>
        <v>0</v>
      </c>
      <c r="L321" s="210">
        <f t="shared" ca="1" si="5"/>
        <v>0</v>
      </c>
    </row>
    <row r="322" spans="2:12" ht="12.75" thickBot="1" x14ac:dyDescent="0.25">
      <c r="B322" s="173" t="s">
        <v>685</v>
      </c>
      <c r="C322" s="174"/>
      <c r="D322" s="197">
        <f t="shared" ref="D322:L322" ca="1" si="6">SUM(D319:D321)</f>
        <v>0</v>
      </c>
      <c r="E322" s="198">
        <f t="shared" ca="1" si="6"/>
        <v>0</v>
      </c>
      <c r="F322" s="198">
        <f t="shared" ca="1" si="6"/>
        <v>0</v>
      </c>
      <c r="G322" s="198">
        <f t="shared" ca="1" si="6"/>
        <v>0</v>
      </c>
      <c r="H322" s="198">
        <f t="shared" ca="1" si="6"/>
        <v>0</v>
      </c>
      <c r="I322" s="198">
        <f t="shared" ca="1" si="6"/>
        <v>0</v>
      </c>
      <c r="J322" s="198">
        <f t="shared" ca="1" si="6"/>
        <v>0</v>
      </c>
      <c r="K322" s="200">
        <f t="shared" ca="1" si="6"/>
        <v>0</v>
      </c>
      <c r="L322" s="201">
        <f t="shared" ca="1" si="6"/>
        <v>0</v>
      </c>
    </row>
    <row r="445" spans="2:12" x14ac:dyDescent="0.2">
      <c r="B445" s="172" t="s">
        <v>322</v>
      </c>
      <c r="C445" s="172" t="s">
        <v>323</v>
      </c>
      <c r="D445" s="172"/>
      <c r="E445" s="172"/>
      <c r="F445" s="172"/>
      <c r="G445" s="172"/>
      <c r="H445" s="172"/>
      <c r="I445" s="172"/>
      <c r="J445" s="172"/>
      <c r="K445" s="172"/>
      <c r="L445" s="172" t="b">
        <f ca="1">SUMIF(Inventarisatie[Freq. Ma-Vr],0,Inventarisatie[Oppervlakte])+L303=SUM(Inventarisatie[Oppervlakte])</f>
        <v>0</v>
      </c>
    </row>
  </sheetData>
  <sheetProtection algorithmName="SHA-512" hashValue="9H9uekUnGVqd2R8oiovI6MAVzTI91q87IsAKsGRCAy4/Gge5mtr1TjgEA1ERwdgbm9GkGF4bKKnFcZpSTxdeXQ==" saltValue="PFVcXwf2cPrhml+Q/kkVHQ==" spinCount="100000" sheet="1" objects="1" scenarios="1"/>
  <mergeCells count="150">
    <mergeCell ref="B3:B8"/>
    <mergeCell ref="K3:K8"/>
    <mergeCell ref="L3:L8"/>
    <mergeCell ref="B15:B20"/>
    <mergeCell ref="K15:K20"/>
    <mergeCell ref="L15:L20"/>
    <mergeCell ref="B21:B26"/>
    <mergeCell ref="K21:K26"/>
    <mergeCell ref="L21:L26"/>
    <mergeCell ref="B9:B14"/>
    <mergeCell ref="K9:K14"/>
    <mergeCell ref="L9:L14"/>
    <mergeCell ref="B33:B38"/>
    <mergeCell ref="K33:K38"/>
    <mergeCell ref="L33:L38"/>
    <mergeCell ref="B39:B44"/>
    <mergeCell ref="K39:K44"/>
    <mergeCell ref="L39:L44"/>
    <mergeCell ref="B27:B32"/>
    <mergeCell ref="K27:K32"/>
    <mergeCell ref="L27:L32"/>
    <mergeCell ref="B51:B56"/>
    <mergeCell ref="K51:K56"/>
    <mergeCell ref="L51:L56"/>
    <mergeCell ref="B57:B62"/>
    <mergeCell ref="K57:K62"/>
    <mergeCell ref="L57:L62"/>
    <mergeCell ref="B45:B50"/>
    <mergeCell ref="K45:K50"/>
    <mergeCell ref="L45:L50"/>
    <mergeCell ref="B75:B80"/>
    <mergeCell ref="K75:K80"/>
    <mergeCell ref="L75:L80"/>
    <mergeCell ref="B81:B86"/>
    <mergeCell ref="K81:K86"/>
    <mergeCell ref="L81:L86"/>
    <mergeCell ref="B63:B68"/>
    <mergeCell ref="K63:K68"/>
    <mergeCell ref="L63:L68"/>
    <mergeCell ref="B69:B74"/>
    <mergeCell ref="K69:K74"/>
    <mergeCell ref="L69:L74"/>
    <mergeCell ref="B99:B104"/>
    <mergeCell ref="K99:K104"/>
    <mergeCell ref="L99:L104"/>
    <mergeCell ref="B105:B110"/>
    <mergeCell ref="K105:K110"/>
    <mergeCell ref="L105:L110"/>
    <mergeCell ref="B87:B92"/>
    <mergeCell ref="K87:K92"/>
    <mergeCell ref="L87:L92"/>
    <mergeCell ref="B93:B98"/>
    <mergeCell ref="K93:K98"/>
    <mergeCell ref="L93:L98"/>
    <mergeCell ref="B123:B128"/>
    <mergeCell ref="K123:K128"/>
    <mergeCell ref="L123:L128"/>
    <mergeCell ref="B129:B134"/>
    <mergeCell ref="K129:K134"/>
    <mergeCell ref="L129:L134"/>
    <mergeCell ref="B111:B116"/>
    <mergeCell ref="K111:K116"/>
    <mergeCell ref="L111:L116"/>
    <mergeCell ref="B117:B122"/>
    <mergeCell ref="K117:K122"/>
    <mergeCell ref="L117:L122"/>
    <mergeCell ref="B147:B152"/>
    <mergeCell ref="K147:K152"/>
    <mergeCell ref="L147:L152"/>
    <mergeCell ref="B153:B158"/>
    <mergeCell ref="K153:K158"/>
    <mergeCell ref="L153:L158"/>
    <mergeCell ref="B135:B140"/>
    <mergeCell ref="K135:K140"/>
    <mergeCell ref="L135:L140"/>
    <mergeCell ref="B141:B146"/>
    <mergeCell ref="K141:K146"/>
    <mergeCell ref="L141:L146"/>
    <mergeCell ref="B171:B176"/>
    <mergeCell ref="K171:K176"/>
    <mergeCell ref="L171:L176"/>
    <mergeCell ref="B177:B182"/>
    <mergeCell ref="K177:K182"/>
    <mergeCell ref="L177:L182"/>
    <mergeCell ref="B159:B164"/>
    <mergeCell ref="K159:K164"/>
    <mergeCell ref="L159:L164"/>
    <mergeCell ref="B165:B170"/>
    <mergeCell ref="K165:K170"/>
    <mergeCell ref="L165:L170"/>
    <mergeCell ref="B195:B200"/>
    <mergeCell ref="K195:K200"/>
    <mergeCell ref="L195:L200"/>
    <mergeCell ref="B201:B206"/>
    <mergeCell ref="K201:K206"/>
    <mergeCell ref="L201:L206"/>
    <mergeCell ref="B183:B188"/>
    <mergeCell ref="K183:K188"/>
    <mergeCell ref="L183:L188"/>
    <mergeCell ref="B189:B194"/>
    <mergeCell ref="K189:K194"/>
    <mergeCell ref="L189:L194"/>
    <mergeCell ref="B219:B224"/>
    <mergeCell ref="K219:K224"/>
    <mergeCell ref="L219:L224"/>
    <mergeCell ref="B225:B230"/>
    <mergeCell ref="K225:K230"/>
    <mergeCell ref="L225:L230"/>
    <mergeCell ref="B207:B212"/>
    <mergeCell ref="K207:K212"/>
    <mergeCell ref="L207:L212"/>
    <mergeCell ref="B213:B218"/>
    <mergeCell ref="K213:K218"/>
    <mergeCell ref="L213:L218"/>
    <mergeCell ref="B243:B248"/>
    <mergeCell ref="K243:K248"/>
    <mergeCell ref="L243:L248"/>
    <mergeCell ref="B249:B254"/>
    <mergeCell ref="K249:K254"/>
    <mergeCell ref="L249:L254"/>
    <mergeCell ref="B231:B236"/>
    <mergeCell ref="K231:K236"/>
    <mergeCell ref="L231:L236"/>
    <mergeCell ref="B237:B242"/>
    <mergeCell ref="K237:K242"/>
    <mergeCell ref="L237:L242"/>
    <mergeCell ref="B267:B272"/>
    <mergeCell ref="K267:K272"/>
    <mergeCell ref="L267:L272"/>
    <mergeCell ref="B273:B278"/>
    <mergeCell ref="K273:K278"/>
    <mergeCell ref="L273:L278"/>
    <mergeCell ref="B255:B260"/>
    <mergeCell ref="K255:K260"/>
    <mergeCell ref="L255:L260"/>
    <mergeCell ref="B261:B266"/>
    <mergeCell ref="K261:K266"/>
    <mergeCell ref="L261:L266"/>
    <mergeCell ref="B291:B296"/>
    <mergeCell ref="K291:K296"/>
    <mergeCell ref="L291:L296"/>
    <mergeCell ref="B297:B302"/>
    <mergeCell ref="K297:K302"/>
    <mergeCell ref="L297:L302"/>
    <mergeCell ref="B279:B284"/>
    <mergeCell ref="K279:K284"/>
    <mergeCell ref="L279:L284"/>
    <mergeCell ref="B285:B290"/>
    <mergeCell ref="K285:K290"/>
    <mergeCell ref="L285:L290"/>
  </mergeCells>
  <conditionalFormatting sqref="B3:L302">
    <cfRule type="expression" dxfId="8" priority="1">
      <formula>$M3</formula>
    </cfRule>
  </conditionalFormatting>
  <printOptions horizontalCentered="1" verticalCentered="1"/>
  <pageMargins left="0.70866141732283472" right="0.70866141732283472" top="0.74803149606299213" bottom="0.74803149606299213" header="0.31496062992125984" footer="0.31496062992125984"/>
  <pageSetup paperSize="9" scale="72" fitToHeight="0" orientation="portrait" horizontalDpi="0" verticalDpi="0" r:id="rId1"/>
  <headerFooter>
    <oddHeader>&amp;L&amp;9&amp;K04-048Kostenblad schoonmaak&amp;R&amp;G</oddHeader>
    <oddFooter>&amp;L&amp;9&amp;K04-049Offerteaanvraag EU Openbare aanbesteding Schoonmaakonderhoud&amp;C&amp;9&amp;K04-049 8 april 2022&amp;R&amp;9&amp;K04-049Blad &amp;P van &amp;N</oddFooter>
  </headerFooter>
  <ignoredErrors>
    <ignoredError sqref="D3:K302" unlockedFormula="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6C3E3-C457-4381-BBF4-A34FBBCDEA85}">
  <sheetPr codeName="Blad8">
    <tabColor theme="4" tint="0.39997558519241921"/>
    <pageSetUpPr fitToPage="1"/>
  </sheetPr>
  <dimension ref="B1:G26"/>
  <sheetViews>
    <sheetView showGridLines="0" showRowColHeaders="0" topLeftCell="A2" zoomScale="130" zoomScaleNormal="130" workbookViewId="0">
      <selection activeCell="C23" sqref="C23"/>
    </sheetView>
  </sheetViews>
  <sheetFormatPr defaultColWidth="9.140625" defaultRowHeight="12" x14ac:dyDescent="0.2"/>
  <cols>
    <col min="1" max="1" width="9.140625" style="9"/>
    <col min="2" max="2" width="30.7109375" style="9" customWidth="1"/>
    <col min="3" max="3" width="24.85546875" style="9" customWidth="1"/>
    <col min="4" max="4" width="9.140625" style="9"/>
    <col min="5" max="5" width="30.28515625" style="9" customWidth="1"/>
    <col min="6" max="6" width="24.85546875" style="9" customWidth="1"/>
    <col min="7" max="16384" width="9.140625" style="9"/>
  </cols>
  <sheetData>
    <row r="1" spans="2:7" ht="12.75" thickBot="1" x14ac:dyDescent="0.25">
      <c r="B1" s="585" t="s">
        <v>426</v>
      </c>
      <c r="C1" s="586"/>
      <c r="D1" s="586"/>
      <c r="E1" s="586"/>
      <c r="F1" s="587"/>
    </row>
    <row r="2" spans="2:7" ht="12.75" thickBot="1" x14ac:dyDescent="0.25">
      <c r="B2" s="160"/>
      <c r="C2" s="160"/>
      <c r="E2" s="160"/>
      <c r="F2" s="160"/>
    </row>
    <row r="3" spans="2:7" x14ac:dyDescent="0.2">
      <c r="B3" s="161" t="s">
        <v>388</v>
      </c>
      <c r="C3" s="162" t="s">
        <v>389</v>
      </c>
      <c r="D3" s="341"/>
      <c r="E3" s="161" t="s">
        <v>388</v>
      </c>
      <c r="F3" s="162" t="s">
        <v>390</v>
      </c>
      <c r="G3" s="341"/>
    </row>
    <row r="4" spans="2:7" x14ac:dyDescent="0.2">
      <c r="B4" s="163" t="s">
        <v>391</v>
      </c>
      <c r="C4" s="164"/>
      <c r="D4" s="341"/>
      <c r="E4" s="163" t="s">
        <v>392</v>
      </c>
      <c r="F4" s="164"/>
      <c r="G4" s="341"/>
    </row>
    <row r="5" spans="2:7" x14ac:dyDescent="0.2">
      <c r="B5" s="165" t="s">
        <v>393</v>
      </c>
      <c r="C5" s="390"/>
      <c r="D5" s="341">
        <v>350</v>
      </c>
      <c r="E5" s="165" t="s">
        <v>394</v>
      </c>
      <c r="F5" s="390"/>
      <c r="G5" s="341"/>
    </row>
    <row r="6" spans="2:7" x14ac:dyDescent="0.2">
      <c r="B6" s="166" t="s">
        <v>395</v>
      </c>
      <c r="C6" s="391"/>
      <c r="D6" s="341"/>
      <c r="E6" s="166" t="s">
        <v>396</v>
      </c>
      <c r="F6" s="391"/>
      <c r="G6" s="341">
        <v>185</v>
      </c>
    </row>
    <row r="7" spans="2:7" x14ac:dyDescent="0.2">
      <c r="B7" s="167" t="s">
        <v>397</v>
      </c>
      <c r="C7" s="392"/>
      <c r="D7" s="341"/>
      <c r="E7" s="167" t="s">
        <v>398</v>
      </c>
      <c r="F7" s="392"/>
      <c r="G7" s="341"/>
    </row>
    <row r="8" spans="2:7" x14ac:dyDescent="0.2">
      <c r="B8" s="163" t="s">
        <v>399</v>
      </c>
      <c r="C8" s="526"/>
      <c r="D8" s="341"/>
      <c r="E8" s="163" t="s">
        <v>401</v>
      </c>
      <c r="F8" s="526"/>
      <c r="G8" s="341"/>
    </row>
    <row r="9" spans="2:7" x14ac:dyDescent="0.2">
      <c r="B9" s="165" t="s">
        <v>393</v>
      </c>
      <c r="C9" s="392"/>
      <c r="D9" s="341">
        <v>80</v>
      </c>
      <c r="E9" s="165" t="s">
        <v>402</v>
      </c>
      <c r="F9" s="390"/>
      <c r="G9" s="341"/>
    </row>
    <row r="10" spans="2:7" x14ac:dyDescent="0.2">
      <c r="B10" s="166" t="s">
        <v>395</v>
      </c>
      <c r="C10" s="392"/>
      <c r="D10" s="341"/>
      <c r="E10" s="166" t="s">
        <v>403</v>
      </c>
      <c r="F10" s="391"/>
      <c r="G10" s="341">
        <v>45</v>
      </c>
    </row>
    <row r="11" spans="2:7" x14ac:dyDescent="0.2">
      <c r="B11" s="167" t="s">
        <v>397</v>
      </c>
      <c r="C11" s="392"/>
      <c r="D11" s="341"/>
      <c r="E11" s="167" t="s">
        <v>404</v>
      </c>
      <c r="F11" s="392"/>
      <c r="G11" s="341"/>
    </row>
    <row r="12" spans="2:7" x14ac:dyDescent="0.2">
      <c r="B12" s="163" t="s">
        <v>400</v>
      </c>
      <c r="C12" s="526"/>
      <c r="D12" s="341"/>
      <c r="E12" s="163" t="s">
        <v>406</v>
      </c>
      <c r="F12" s="526"/>
      <c r="G12" s="341"/>
    </row>
    <row r="13" spans="2:7" x14ac:dyDescent="0.2">
      <c r="B13" s="165" t="s">
        <v>393</v>
      </c>
      <c r="C13" s="390"/>
      <c r="D13" s="341">
        <v>200</v>
      </c>
      <c r="E13" s="165" t="s">
        <v>393</v>
      </c>
      <c r="F13" s="390"/>
      <c r="G13" s="341">
        <v>200</v>
      </c>
    </row>
    <row r="14" spans="2:7" x14ac:dyDescent="0.2">
      <c r="B14" s="166" t="s">
        <v>395</v>
      </c>
      <c r="C14" s="391"/>
      <c r="D14" s="341"/>
      <c r="E14" s="166" t="s">
        <v>395</v>
      </c>
      <c r="F14" s="391"/>
      <c r="G14" s="341"/>
    </row>
    <row r="15" spans="2:7" x14ac:dyDescent="0.2">
      <c r="B15" s="167" t="s">
        <v>397</v>
      </c>
      <c r="C15" s="392"/>
      <c r="D15" s="341"/>
      <c r="E15" s="167" t="s">
        <v>397</v>
      </c>
      <c r="F15" s="392"/>
      <c r="G15" s="341"/>
    </row>
    <row r="16" spans="2:7" x14ac:dyDescent="0.2">
      <c r="B16" s="163" t="s">
        <v>405</v>
      </c>
      <c r="C16" s="526"/>
      <c r="D16" s="341"/>
      <c r="E16" s="163" t="s">
        <v>408</v>
      </c>
      <c r="F16" s="526"/>
      <c r="G16" s="341"/>
    </row>
    <row r="17" spans="2:7" x14ac:dyDescent="0.2">
      <c r="B17" s="165" t="s">
        <v>393</v>
      </c>
      <c r="C17" s="390"/>
      <c r="D17" s="341"/>
      <c r="E17" s="165" t="s">
        <v>393</v>
      </c>
      <c r="F17" s="390"/>
      <c r="G17" s="341">
        <v>200</v>
      </c>
    </row>
    <row r="18" spans="2:7" x14ac:dyDescent="0.2">
      <c r="B18" s="166" t="s">
        <v>395</v>
      </c>
      <c r="C18" s="391"/>
      <c r="D18" s="341">
        <v>650</v>
      </c>
      <c r="E18" s="166" t="s">
        <v>395</v>
      </c>
      <c r="F18" s="391"/>
      <c r="G18" s="341"/>
    </row>
    <row r="19" spans="2:7" x14ac:dyDescent="0.2">
      <c r="B19" s="167" t="s">
        <v>397</v>
      </c>
      <c r="C19" s="392"/>
      <c r="D19" s="341"/>
      <c r="E19" s="167" t="s">
        <v>397</v>
      </c>
      <c r="F19" s="392"/>
      <c r="G19" s="341"/>
    </row>
    <row r="20" spans="2:7" x14ac:dyDescent="0.2">
      <c r="B20" s="163" t="s">
        <v>407</v>
      </c>
      <c r="C20" s="526"/>
      <c r="D20" s="341"/>
      <c r="E20" s="163" t="s">
        <v>413</v>
      </c>
      <c r="F20" s="526"/>
      <c r="G20" s="341"/>
    </row>
    <row r="21" spans="2:7" x14ac:dyDescent="0.2">
      <c r="B21" s="168" t="s">
        <v>409</v>
      </c>
      <c r="C21" s="390"/>
      <c r="D21" s="341"/>
      <c r="E21" s="165" t="s">
        <v>415</v>
      </c>
      <c r="F21" s="390"/>
      <c r="G21" s="341">
        <v>30</v>
      </c>
    </row>
    <row r="22" spans="2:7" x14ac:dyDescent="0.2">
      <c r="B22" s="169" t="s">
        <v>410</v>
      </c>
      <c r="C22" s="391"/>
      <c r="D22" s="341"/>
      <c r="E22" s="166" t="s">
        <v>417</v>
      </c>
      <c r="F22" s="391"/>
      <c r="G22" s="341">
        <v>10</v>
      </c>
    </row>
    <row r="23" spans="2:7" ht="12.75" thickBot="1" x14ac:dyDescent="0.25">
      <c r="B23" s="170" t="s">
        <v>411</v>
      </c>
      <c r="C23" s="391"/>
      <c r="D23" s="341"/>
      <c r="E23" s="171" t="s">
        <v>419</v>
      </c>
      <c r="F23" s="393"/>
      <c r="G23" s="341">
        <v>2</v>
      </c>
    </row>
    <row r="24" spans="2:7" ht="12.75" thickBot="1" x14ac:dyDescent="0.25">
      <c r="B24" s="340" t="s">
        <v>412</v>
      </c>
      <c r="C24" s="393"/>
      <c r="D24" s="341"/>
      <c r="E24" s="163" t="s">
        <v>414</v>
      </c>
      <c r="F24" s="526"/>
      <c r="G24" s="341"/>
    </row>
    <row r="25" spans="2:7" x14ac:dyDescent="0.2">
      <c r="E25" s="165" t="s">
        <v>416</v>
      </c>
      <c r="F25" s="390"/>
      <c r="G25" s="341">
        <v>25</v>
      </c>
    </row>
    <row r="26" spans="2:7" ht="12.75" thickBot="1" x14ac:dyDescent="0.25">
      <c r="E26" s="171" t="s">
        <v>418</v>
      </c>
      <c r="F26" s="393"/>
      <c r="G26" s="341"/>
    </row>
  </sheetData>
  <sheetProtection algorithmName="SHA-512" hashValue="GiKW1WOroHjoWTrWk1S1IfhN/Kd1PtSb2tyot83u6ui/BWAzi9qjnu7F4dZVgU0401yhq4UASLigx8jaeUB99g==" saltValue="xs3Hr6Ch/3t2ZBrzUrsKnA==" spinCount="100000" sheet="1" objects="1" scenarios="1"/>
  <mergeCells count="1">
    <mergeCell ref="B1:F1"/>
  </mergeCells>
  <printOptions horizontalCentered="1" verticalCentered="1"/>
  <pageMargins left="0.70866141732283472" right="0.70866141732283472" top="0.74803149606299213" bottom="0.74803149606299213" header="0.31496062992125984" footer="0.31496062992125984"/>
  <pageSetup paperSize="9" fitToHeight="0" orientation="landscape" horizontalDpi="0" verticalDpi="0" r:id="rId1"/>
  <headerFooter>
    <oddHeader>&amp;L&amp;9&amp;K04-048Staffel/regieprijzen&amp;R&amp;G</oddHeader>
    <oddFooter>&amp;L&amp;9&amp;K04-049Offerteaanvraag EU Openbare aanbesteding Schoonmaakonderhoud&amp;C&amp;9&amp;K04-049 8 april 2022&amp;R&amp;9&amp;K04-049Blad &amp;P van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16</vt:i4>
      </vt:variant>
      <vt:variant>
        <vt:lpstr>Benoemde bereiken</vt:lpstr>
      </vt:variant>
      <vt:variant>
        <vt:i4>16</vt:i4>
      </vt:variant>
    </vt:vector>
  </HeadingPairs>
  <TitlesOfParts>
    <vt:vector size="32" baseType="lpstr">
      <vt:lpstr>Locatieoverzicht</vt:lpstr>
      <vt:lpstr>Inventarisatie</vt:lpstr>
      <vt:lpstr>Ruimtestaat</vt:lpstr>
      <vt:lpstr>Uurtarieven</vt:lpstr>
      <vt:lpstr>Schoonmaaknormen</vt:lpstr>
      <vt:lpstr>Toeslagenmatrix-tarieven</vt:lpstr>
      <vt:lpstr>Kostenblad schoonmaak</vt:lpstr>
      <vt:lpstr>Staffelprijzen</vt:lpstr>
      <vt:lpstr>Glazenwassen</vt:lpstr>
      <vt:lpstr>Inschrijfbiljet</vt:lpstr>
      <vt:lpstr>Boxenruimte</vt:lpstr>
      <vt:lpstr>Kantoorruimte</vt:lpstr>
      <vt:lpstr>Representatieve ruimte</vt:lpstr>
      <vt:lpstr>Restauratieve ruimte</vt:lpstr>
      <vt:lpstr>Sanitaire ruimte</vt:lpstr>
      <vt:lpstr>Verkeersruimte</vt:lpstr>
      <vt:lpstr>Glazenwassen!Afdrukbereik</vt:lpstr>
      <vt:lpstr>Inventarisatie!Afdrukbereik</vt:lpstr>
      <vt:lpstr>'Kostenblad schoonmaak'!Afdrukbereik</vt:lpstr>
      <vt:lpstr>Locatieoverzicht!Afdrukbereik</vt:lpstr>
      <vt:lpstr>Ruimtestaat!Afdrukbereik</vt:lpstr>
      <vt:lpstr>Schoonmaaknormen!Afdrukbereik</vt:lpstr>
      <vt:lpstr>Staffelprijzen!Afdrukbereik</vt:lpstr>
      <vt:lpstr>'Toeslagenmatrix-tarieven'!Afdrukbereik</vt:lpstr>
      <vt:lpstr>Uurtarieven!Afdrukbereik</vt:lpstr>
      <vt:lpstr>Inventarisatie!Afdruktitels</vt:lpstr>
      <vt:lpstr>'Toeslagenmatrix-tarieven'!calculatietarief</vt:lpstr>
      <vt:lpstr>calculatietarief</vt:lpstr>
      <vt:lpstr>gebi</vt:lpstr>
      <vt:lpstr>gebu</vt:lpstr>
      <vt:lpstr>ovge</vt:lpstr>
      <vt:lpstr>sep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2022-03-29T19:50:25Z</dcterms:created>
  <dcterms:modified xsi:type="dcterms:W3CDTF">2022-05-12T19:09:16Z</dcterms:modified>
</cp:coreProperties>
</file>